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Finance\Management Accounting Services\Schools\Medicine\Business Plans &amp; Ongoing Monitor\"/>
    </mc:Choice>
  </mc:AlternateContent>
  <bookViews>
    <workbookView xWindow="0" yWindow="0" windowWidth="28800" windowHeight="12420"/>
  </bookViews>
  <sheets>
    <sheet name="Target" sheetId="1" r:id="rId1"/>
    <sheet name="Minimum" sheetId="3" r:id="rId2"/>
    <sheet name="Workings" sheetId="2" r:id="rId3"/>
  </sheets>
  <definedNames>
    <definedName name="_xlnm.Print_Area" localSheetId="1">Minimum!$A$4:$V$95</definedName>
    <definedName name="_xlnm.Print_Area" localSheetId="0">Target!$A$4:$V$95</definedName>
    <definedName name="_xlnm.Print_Titles" localSheetId="1">Minimum!$1:$3</definedName>
    <definedName name="_xlnm.Print_Titles" localSheetId="0">Target!$1:$3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" i="3" l="1"/>
  <c r="L90" i="3"/>
  <c r="I90" i="3"/>
  <c r="H90" i="3"/>
  <c r="E90" i="3"/>
  <c r="D90" i="3"/>
  <c r="B90" i="3"/>
  <c r="K90" i="3" s="1"/>
  <c r="N84" i="3"/>
  <c r="M84" i="3"/>
  <c r="L84" i="3"/>
  <c r="K84" i="3"/>
  <c r="J84" i="3"/>
  <c r="I84" i="3"/>
  <c r="H84" i="3"/>
  <c r="G84" i="3"/>
  <c r="F84" i="3"/>
  <c r="E84" i="3"/>
  <c r="D84" i="3"/>
  <c r="P82" i="3"/>
  <c r="P81" i="3"/>
  <c r="P80" i="3"/>
  <c r="P79" i="3"/>
  <c r="P78" i="3"/>
  <c r="P77" i="3"/>
  <c r="P76" i="3"/>
  <c r="P75" i="3"/>
  <c r="P74" i="3"/>
  <c r="B68" i="3"/>
  <c r="H63" i="3"/>
  <c r="H64" i="3" s="1"/>
  <c r="A63" i="3"/>
  <c r="N62" i="3"/>
  <c r="M62" i="3"/>
  <c r="L62" i="3"/>
  <c r="J62" i="3"/>
  <c r="I62" i="3"/>
  <c r="H62" i="3"/>
  <c r="F62" i="3"/>
  <c r="E62" i="3"/>
  <c r="D62" i="3"/>
  <c r="A62" i="3"/>
  <c r="K62" i="3" s="1"/>
  <c r="M58" i="3"/>
  <c r="K58" i="3"/>
  <c r="J58" i="3"/>
  <c r="G58" i="3"/>
  <c r="F58" i="3"/>
  <c r="E58" i="3"/>
  <c r="A58" i="3"/>
  <c r="L57" i="3"/>
  <c r="G57" i="3"/>
  <c r="G59" i="3" s="1"/>
  <c r="A57" i="3"/>
  <c r="K51" i="3"/>
  <c r="I51" i="3"/>
  <c r="G51" i="3"/>
  <c r="N49" i="3"/>
  <c r="M49" i="3"/>
  <c r="L49" i="3"/>
  <c r="K49" i="3"/>
  <c r="J49" i="3"/>
  <c r="I49" i="3"/>
  <c r="H49" i="3"/>
  <c r="G49" i="3"/>
  <c r="F49" i="3"/>
  <c r="E49" i="3"/>
  <c r="D49" i="3"/>
  <c r="P49" i="3" s="1"/>
  <c r="N48" i="3"/>
  <c r="N51" i="3" s="1"/>
  <c r="M48" i="3"/>
  <c r="M51" i="3" s="1"/>
  <c r="L48" i="3"/>
  <c r="L51" i="3" s="1"/>
  <c r="K48" i="3"/>
  <c r="J48" i="3"/>
  <c r="J51" i="3" s="1"/>
  <c r="I48" i="3"/>
  <c r="H48" i="3"/>
  <c r="H51" i="3" s="1"/>
  <c r="G48" i="3"/>
  <c r="F48" i="3"/>
  <c r="F51" i="3" s="1"/>
  <c r="E48" i="3"/>
  <c r="E51" i="3" s="1"/>
  <c r="D48" i="3"/>
  <c r="P48" i="3" s="1"/>
  <c r="J36" i="3"/>
  <c r="F36" i="3"/>
  <c r="N34" i="3"/>
  <c r="N36" i="3" s="1"/>
  <c r="M34" i="3"/>
  <c r="M36" i="3" s="1"/>
  <c r="L34" i="3"/>
  <c r="K34" i="3"/>
  <c r="K36" i="3" s="1"/>
  <c r="J34" i="3"/>
  <c r="I34" i="3"/>
  <c r="I36" i="3" s="1"/>
  <c r="H34" i="3"/>
  <c r="G34" i="3"/>
  <c r="G36" i="3" s="1"/>
  <c r="F34" i="3"/>
  <c r="E34" i="3"/>
  <c r="E36" i="3" s="1"/>
  <c r="D34" i="3"/>
  <c r="B33" i="3"/>
  <c r="B32" i="3"/>
  <c r="N30" i="3"/>
  <c r="M30" i="3"/>
  <c r="L30" i="3"/>
  <c r="L36" i="3" s="1"/>
  <c r="K30" i="3"/>
  <c r="J30" i="3"/>
  <c r="I30" i="3"/>
  <c r="H30" i="3"/>
  <c r="H36" i="3" s="1"/>
  <c r="G30" i="3"/>
  <c r="F30" i="3"/>
  <c r="E30" i="3"/>
  <c r="D30" i="3"/>
  <c r="D36" i="3" s="1"/>
  <c r="B29" i="3"/>
  <c r="B28" i="3"/>
  <c r="M25" i="3"/>
  <c r="L25" i="3"/>
  <c r="I25" i="3"/>
  <c r="H25" i="3"/>
  <c r="G25" i="3"/>
  <c r="E25" i="3"/>
  <c r="D25" i="3"/>
  <c r="N21" i="3"/>
  <c r="M21" i="3"/>
  <c r="L21" i="3"/>
  <c r="K21" i="3"/>
  <c r="K25" i="3" s="1"/>
  <c r="J21" i="3"/>
  <c r="I21" i="3"/>
  <c r="H21" i="3"/>
  <c r="G21" i="3"/>
  <c r="F21" i="3"/>
  <c r="E21" i="3"/>
  <c r="D21" i="3"/>
  <c r="A2" i="3"/>
  <c r="N90" i="1"/>
  <c r="M90" i="1"/>
  <c r="L90" i="1"/>
  <c r="K90" i="1"/>
  <c r="J90" i="1"/>
  <c r="I90" i="1"/>
  <c r="H90" i="1"/>
  <c r="G90" i="1"/>
  <c r="F90" i="1"/>
  <c r="E90" i="1"/>
  <c r="D90" i="1"/>
  <c r="E10" i="2"/>
  <c r="F10" i="2"/>
  <c r="G10" i="2" s="1"/>
  <c r="H10" i="2" s="1"/>
  <c r="I10" i="2" s="1"/>
  <c r="J10" i="2" s="1"/>
  <c r="K10" i="2" s="1"/>
  <c r="L10" i="2" s="1"/>
  <c r="M10" i="2" s="1"/>
  <c r="N10" i="2" s="1"/>
  <c r="E11" i="2"/>
  <c r="F11" i="2"/>
  <c r="G11" i="2"/>
  <c r="H11" i="2"/>
  <c r="I11" i="2" s="1"/>
  <c r="J11" i="2" s="1"/>
  <c r="K11" i="2" s="1"/>
  <c r="L11" i="2" s="1"/>
  <c r="M11" i="2" s="1"/>
  <c r="N11" i="2" s="1"/>
  <c r="F9" i="2"/>
  <c r="G9" i="2"/>
  <c r="H9" i="2" s="1"/>
  <c r="I9" i="2" s="1"/>
  <c r="J9" i="2" s="1"/>
  <c r="K9" i="2" s="1"/>
  <c r="L9" i="2" s="1"/>
  <c r="M9" i="2" s="1"/>
  <c r="N9" i="2" s="1"/>
  <c r="E9" i="2"/>
  <c r="D63" i="1"/>
  <c r="E63" i="1"/>
  <c r="F63" i="1"/>
  <c r="G63" i="1"/>
  <c r="H63" i="1"/>
  <c r="I63" i="1"/>
  <c r="J63" i="1"/>
  <c r="K63" i="1"/>
  <c r="L63" i="1"/>
  <c r="M63" i="1"/>
  <c r="N63" i="1"/>
  <c r="N62" i="1"/>
  <c r="M62" i="1"/>
  <c r="L62" i="1"/>
  <c r="K62" i="1"/>
  <c r="J62" i="1"/>
  <c r="I62" i="1"/>
  <c r="H62" i="1"/>
  <c r="G62" i="1"/>
  <c r="F62" i="1"/>
  <c r="D62" i="1"/>
  <c r="E62" i="1"/>
  <c r="D58" i="1"/>
  <c r="E58" i="1"/>
  <c r="F58" i="1"/>
  <c r="G58" i="1"/>
  <c r="H58" i="1"/>
  <c r="I58" i="1"/>
  <c r="J58" i="1"/>
  <c r="K58" i="1"/>
  <c r="L58" i="1"/>
  <c r="M58" i="1"/>
  <c r="N58" i="1"/>
  <c r="N57" i="1"/>
  <c r="M57" i="1"/>
  <c r="L57" i="1"/>
  <c r="K57" i="1"/>
  <c r="J57" i="1"/>
  <c r="I57" i="1"/>
  <c r="H57" i="1"/>
  <c r="G57" i="1"/>
  <c r="F57" i="1"/>
  <c r="E57" i="1"/>
  <c r="D57" i="1"/>
  <c r="F14" i="2"/>
  <c r="G14" i="2"/>
  <c r="H14" i="2"/>
  <c r="I14" i="2"/>
  <c r="J14" i="2" s="1"/>
  <c r="K14" i="2" s="1"/>
  <c r="L14" i="2" s="1"/>
  <c r="M14" i="2" s="1"/>
  <c r="N14" i="2" s="1"/>
  <c r="O14" i="2" s="1"/>
  <c r="F15" i="2"/>
  <c r="G15" i="2"/>
  <c r="H15" i="2" s="1"/>
  <c r="I15" i="2" s="1"/>
  <c r="J15" i="2" s="1"/>
  <c r="K15" i="2" s="1"/>
  <c r="L15" i="2" s="1"/>
  <c r="M15" i="2" s="1"/>
  <c r="N15" i="2" s="1"/>
  <c r="O15" i="2" s="1"/>
  <c r="F16" i="2"/>
  <c r="G16" i="2"/>
  <c r="H16" i="2"/>
  <c r="I16" i="2"/>
  <c r="J16" i="2" s="1"/>
  <c r="K16" i="2" s="1"/>
  <c r="L16" i="2" s="1"/>
  <c r="M16" i="2"/>
  <c r="N16" i="2" s="1"/>
  <c r="O16" i="2" s="1"/>
  <c r="F17" i="2"/>
  <c r="G17" i="2"/>
  <c r="H17" i="2" s="1"/>
  <c r="I17" i="2" s="1"/>
  <c r="J17" i="2" s="1"/>
  <c r="K17" i="2"/>
  <c r="L17" i="2" s="1"/>
  <c r="M17" i="2" s="1"/>
  <c r="N17" i="2" s="1"/>
  <c r="O17" i="2"/>
  <c r="F18" i="2"/>
  <c r="G18" i="2"/>
  <c r="H18" i="2"/>
  <c r="I18" i="2"/>
  <c r="J18" i="2" s="1"/>
  <c r="K18" i="2" s="1"/>
  <c r="L18" i="2" s="1"/>
  <c r="M18" i="2" s="1"/>
  <c r="N18" i="2" s="1"/>
  <c r="O18" i="2" s="1"/>
  <c r="F19" i="2"/>
  <c r="G19" i="2"/>
  <c r="H19" i="2" s="1"/>
  <c r="I19" i="2" s="1"/>
  <c r="J19" i="2" s="1"/>
  <c r="K19" i="2"/>
  <c r="L19" i="2" s="1"/>
  <c r="M19" i="2" s="1"/>
  <c r="N19" i="2" s="1"/>
  <c r="O19" i="2" s="1"/>
  <c r="F21" i="2"/>
  <c r="G21" i="2"/>
  <c r="H21" i="2" s="1"/>
  <c r="I21" i="2" s="1"/>
  <c r="J21" i="2" s="1"/>
  <c r="K21" i="2" s="1"/>
  <c r="L21" i="2" s="1"/>
  <c r="M21" i="2" s="1"/>
  <c r="N21" i="2" s="1"/>
  <c r="O21" i="2" s="1"/>
  <c r="F22" i="2"/>
  <c r="G22" i="2"/>
  <c r="H22" i="2"/>
  <c r="I22" i="2"/>
  <c r="J22" i="2" s="1"/>
  <c r="K22" i="2" s="1"/>
  <c r="L22" i="2" s="1"/>
  <c r="M22" i="2"/>
  <c r="N22" i="2" s="1"/>
  <c r="O22" i="2" s="1"/>
  <c r="F23" i="2"/>
  <c r="G23" i="2"/>
  <c r="H23" i="2" s="1"/>
  <c r="I23" i="2" s="1"/>
  <c r="J23" i="2" s="1"/>
  <c r="K23" i="2"/>
  <c r="L23" i="2" s="1"/>
  <c r="M23" i="2" s="1"/>
  <c r="N23" i="2" s="1"/>
  <c r="O23" i="2"/>
  <c r="F24" i="2"/>
  <c r="G24" i="2"/>
  <c r="H24" i="2"/>
  <c r="I24" i="2"/>
  <c r="J24" i="2" s="1"/>
  <c r="K24" i="2" s="1"/>
  <c r="L24" i="2" s="1"/>
  <c r="M24" i="2"/>
  <c r="N24" i="2" s="1"/>
  <c r="O24" i="2" s="1"/>
  <c r="F25" i="2"/>
  <c r="G25" i="2"/>
  <c r="H25" i="2" s="1"/>
  <c r="I25" i="2" s="1"/>
  <c r="J25" i="2" s="1"/>
  <c r="K25" i="2"/>
  <c r="L25" i="2" s="1"/>
  <c r="M25" i="2" s="1"/>
  <c r="N25" i="2" s="1"/>
  <c r="O25" i="2"/>
  <c r="F26" i="2"/>
  <c r="G26" i="2"/>
  <c r="H26" i="2"/>
  <c r="I26" i="2"/>
  <c r="J26" i="2" s="1"/>
  <c r="K26" i="2" s="1"/>
  <c r="L26" i="2" s="1"/>
  <c r="M26" i="2" s="1"/>
  <c r="N26" i="2" s="1"/>
  <c r="O26" i="2" s="1"/>
  <c r="F27" i="2"/>
  <c r="G27" i="2"/>
  <c r="H27" i="2" s="1"/>
  <c r="I27" i="2" s="1"/>
  <c r="J27" i="2" s="1"/>
  <c r="K27" i="2"/>
  <c r="L27" i="2" s="1"/>
  <c r="M27" i="2" s="1"/>
  <c r="N27" i="2" s="1"/>
  <c r="O27" i="2" s="1"/>
  <c r="F28" i="2"/>
  <c r="G28" i="2"/>
  <c r="H28" i="2"/>
  <c r="I28" i="2"/>
  <c r="J28" i="2" s="1"/>
  <c r="K28" i="2" s="1"/>
  <c r="L28" i="2" s="1"/>
  <c r="M28" i="2"/>
  <c r="N28" i="2" s="1"/>
  <c r="O28" i="2" s="1"/>
  <c r="G13" i="2"/>
  <c r="H13" i="2"/>
  <c r="I13" i="2" s="1"/>
  <c r="J13" i="2" s="1"/>
  <c r="K13" i="2" s="1"/>
  <c r="L13" i="2" s="1"/>
  <c r="M13" i="2" s="1"/>
  <c r="N13" i="2" s="1"/>
  <c r="O13" i="2" s="1"/>
  <c r="F13" i="2"/>
  <c r="E68" i="1"/>
  <c r="F68" i="1"/>
  <c r="G68" i="1"/>
  <c r="H68" i="1"/>
  <c r="I68" i="1"/>
  <c r="J68" i="1"/>
  <c r="K68" i="1"/>
  <c r="L68" i="1"/>
  <c r="M68" i="1"/>
  <c r="N68" i="1"/>
  <c r="D68" i="1"/>
  <c r="B90" i="1"/>
  <c r="P51" i="3" l="1"/>
  <c r="D51" i="3"/>
  <c r="L59" i="3"/>
  <c r="N64" i="3"/>
  <c r="M68" i="3"/>
  <c r="I68" i="3"/>
  <c r="E68" i="3"/>
  <c r="L68" i="3"/>
  <c r="H68" i="3"/>
  <c r="D68" i="3"/>
  <c r="K68" i="3"/>
  <c r="F25" i="3"/>
  <c r="F90" i="3"/>
  <c r="J25" i="3"/>
  <c r="J90" i="3"/>
  <c r="N25" i="3"/>
  <c r="N90" i="3"/>
  <c r="M57" i="3"/>
  <c r="M59" i="3" s="1"/>
  <c r="I57" i="3"/>
  <c r="I59" i="3" s="1"/>
  <c r="E57" i="3"/>
  <c r="E59" i="3" s="1"/>
  <c r="H57" i="3"/>
  <c r="N57" i="3"/>
  <c r="N59" i="3" s="1"/>
  <c r="E64" i="3"/>
  <c r="E66" i="3" s="1"/>
  <c r="N63" i="3"/>
  <c r="J63" i="3"/>
  <c r="J64" i="3" s="1"/>
  <c r="J66" i="3" s="1"/>
  <c r="F63" i="3"/>
  <c r="F64" i="3" s="1"/>
  <c r="F66" i="3" s="1"/>
  <c r="M63" i="3"/>
  <c r="I63" i="3"/>
  <c r="I64" i="3" s="1"/>
  <c r="I66" i="3" s="1"/>
  <c r="E63" i="3"/>
  <c r="K63" i="3"/>
  <c r="K64" i="3" s="1"/>
  <c r="K66" i="3" s="1"/>
  <c r="F68" i="3"/>
  <c r="N68" i="3"/>
  <c r="P84" i="3"/>
  <c r="D57" i="3"/>
  <c r="J57" i="3"/>
  <c r="J59" i="3" s="1"/>
  <c r="D63" i="3"/>
  <c r="L63" i="3"/>
  <c r="L64" i="3" s="1"/>
  <c r="G68" i="3"/>
  <c r="F57" i="3"/>
  <c r="F59" i="3" s="1"/>
  <c r="K57" i="3"/>
  <c r="K59" i="3" s="1"/>
  <c r="L58" i="3"/>
  <c r="H58" i="3"/>
  <c r="D58" i="3"/>
  <c r="P58" i="3" s="1"/>
  <c r="I58" i="3"/>
  <c r="N58" i="3"/>
  <c r="M64" i="3"/>
  <c r="M66" i="3" s="1"/>
  <c r="G63" i="3"/>
  <c r="J68" i="3"/>
  <c r="G62" i="3"/>
  <c r="G90" i="3"/>
  <c r="P90" i="3" s="1"/>
  <c r="B68" i="1"/>
  <c r="A63" i="1"/>
  <c r="A62" i="1"/>
  <c r="A58" i="1"/>
  <c r="A57" i="1"/>
  <c r="E48" i="1"/>
  <c r="F48" i="1"/>
  <c r="G48" i="1"/>
  <c r="G51" i="1" s="1"/>
  <c r="H48" i="1"/>
  <c r="I48" i="1"/>
  <c r="I51" i="1" s="1"/>
  <c r="J48" i="1"/>
  <c r="K48" i="1"/>
  <c r="L48" i="1"/>
  <c r="M48" i="1"/>
  <c r="M51" i="1" s="1"/>
  <c r="N48" i="1"/>
  <c r="E49" i="1"/>
  <c r="F49" i="1"/>
  <c r="G49" i="1"/>
  <c r="H49" i="1"/>
  <c r="I49" i="1"/>
  <c r="J49" i="1"/>
  <c r="K49" i="1"/>
  <c r="K51" i="1" s="1"/>
  <c r="L49" i="1"/>
  <c r="M49" i="1"/>
  <c r="N49" i="1"/>
  <c r="D49" i="1"/>
  <c r="D48" i="1"/>
  <c r="E21" i="1"/>
  <c r="E25" i="1" s="1"/>
  <c r="F21" i="1"/>
  <c r="F25" i="1" s="1"/>
  <c r="G21" i="1"/>
  <c r="G25" i="1" s="1"/>
  <c r="H21" i="1"/>
  <c r="H25" i="1" s="1"/>
  <c r="I21" i="1"/>
  <c r="I25" i="1" s="1"/>
  <c r="J21" i="1"/>
  <c r="J25" i="1" s="1"/>
  <c r="K21" i="1"/>
  <c r="L21" i="1"/>
  <c r="L25" i="1" s="1"/>
  <c r="M21" i="1"/>
  <c r="M25" i="1" s="1"/>
  <c r="N21" i="1"/>
  <c r="N25" i="1" s="1"/>
  <c r="D21" i="1"/>
  <c r="D25" i="1" s="1"/>
  <c r="N30" i="1"/>
  <c r="M30" i="1"/>
  <c r="L30" i="1"/>
  <c r="K30" i="1"/>
  <c r="J30" i="1"/>
  <c r="I30" i="1"/>
  <c r="H30" i="1"/>
  <c r="G30" i="1"/>
  <c r="B33" i="1"/>
  <c r="B32" i="1"/>
  <c r="B29" i="1"/>
  <c r="B28" i="1"/>
  <c r="A2" i="1"/>
  <c r="P82" i="1"/>
  <c r="P81" i="1"/>
  <c r="P80" i="1"/>
  <c r="P79" i="1"/>
  <c r="P78" i="1"/>
  <c r="P77" i="1"/>
  <c r="P76" i="1"/>
  <c r="P75" i="1"/>
  <c r="P74" i="1"/>
  <c r="N84" i="1"/>
  <c r="E84" i="1"/>
  <c r="F84" i="1"/>
  <c r="G84" i="1"/>
  <c r="H84" i="1"/>
  <c r="I84" i="1"/>
  <c r="J84" i="1"/>
  <c r="K84" i="1"/>
  <c r="L84" i="1"/>
  <c r="M84" i="1"/>
  <c r="D84" i="1"/>
  <c r="E34" i="1"/>
  <c r="F34" i="1"/>
  <c r="G34" i="1"/>
  <c r="H34" i="1"/>
  <c r="I34" i="1"/>
  <c r="J34" i="1"/>
  <c r="K34" i="1"/>
  <c r="L34" i="1"/>
  <c r="M34" i="1"/>
  <c r="N34" i="1"/>
  <c r="D34" i="1"/>
  <c r="E30" i="1"/>
  <c r="F30" i="1"/>
  <c r="D30" i="1"/>
  <c r="P63" i="3" l="1"/>
  <c r="L70" i="3"/>
  <c r="L86" i="3" s="1"/>
  <c r="D64" i="3"/>
  <c r="D66" i="3" s="1"/>
  <c r="D70" i="3" s="1"/>
  <c r="D86" i="3" s="1"/>
  <c r="K70" i="3"/>
  <c r="K86" i="3" s="1"/>
  <c r="E70" i="3"/>
  <c r="E86" i="3" s="1"/>
  <c r="N66" i="3"/>
  <c r="G64" i="3"/>
  <c r="G66" i="3" s="1"/>
  <c r="G70" i="3"/>
  <c r="G86" i="3" s="1"/>
  <c r="N70" i="3"/>
  <c r="N86" i="3" s="1"/>
  <c r="H59" i="3"/>
  <c r="H66" i="3" s="1"/>
  <c r="H70" i="3" s="1"/>
  <c r="H86" i="3" s="1"/>
  <c r="P68" i="3"/>
  <c r="I70" i="3"/>
  <c r="I86" i="3" s="1"/>
  <c r="J70" i="3"/>
  <c r="J86" i="3" s="1"/>
  <c r="L66" i="3"/>
  <c r="D59" i="3"/>
  <c r="P57" i="3"/>
  <c r="P59" i="3" s="1"/>
  <c r="F70" i="3"/>
  <c r="F86" i="3" s="1"/>
  <c r="M70" i="3"/>
  <c r="M86" i="3" s="1"/>
  <c r="P62" i="3"/>
  <c r="P64" i="3" s="1"/>
  <c r="P66" i="3" s="1"/>
  <c r="P90" i="1"/>
  <c r="P48" i="1"/>
  <c r="J64" i="1"/>
  <c r="P63" i="1"/>
  <c r="D51" i="1"/>
  <c r="F59" i="1"/>
  <c r="J59" i="1"/>
  <c r="N59" i="1"/>
  <c r="E59" i="1"/>
  <c r="M59" i="1"/>
  <c r="L51" i="1"/>
  <c r="P49" i="1"/>
  <c r="P51" i="1" s="1"/>
  <c r="N51" i="1"/>
  <c r="J51" i="1"/>
  <c r="F51" i="1"/>
  <c r="L59" i="1"/>
  <c r="L64" i="1"/>
  <c r="I59" i="1"/>
  <c r="E51" i="1"/>
  <c r="K59" i="1"/>
  <c r="M64" i="1"/>
  <c r="G64" i="1"/>
  <c r="I64" i="1"/>
  <c r="H64" i="1"/>
  <c r="E64" i="1"/>
  <c r="N64" i="1"/>
  <c r="F64" i="1"/>
  <c r="G59" i="1"/>
  <c r="D64" i="1"/>
  <c r="H51" i="1"/>
  <c r="L36" i="1"/>
  <c r="H36" i="1"/>
  <c r="M36" i="1"/>
  <c r="K36" i="1"/>
  <c r="K25" i="1"/>
  <c r="I36" i="1"/>
  <c r="N36" i="1"/>
  <c r="J36" i="1"/>
  <c r="G36" i="1"/>
  <c r="P84" i="1"/>
  <c r="F36" i="1"/>
  <c r="E36" i="1"/>
  <c r="D36" i="1"/>
  <c r="D88" i="3" l="1"/>
  <c r="D92" i="3"/>
  <c r="D94" i="3" s="1"/>
  <c r="H88" i="3"/>
  <c r="H92" i="3"/>
  <c r="H94" i="3" s="1"/>
  <c r="F92" i="3"/>
  <c r="F94" i="3" s="1"/>
  <c r="F88" i="3"/>
  <c r="J92" i="3"/>
  <c r="J94" i="3" s="1"/>
  <c r="J88" i="3"/>
  <c r="K92" i="3"/>
  <c r="K94" i="3" s="1"/>
  <c r="K88" i="3"/>
  <c r="I92" i="3"/>
  <c r="I94" i="3" s="1"/>
  <c r="I88" i="3"/>
  <c r="N92" i="3"/>
  <c r="N94" i="3" s="1"/>
  <c r="N88" i="3"/>
  <c r="M88" i="3"/>
  <c r="M92" i="3"/>
  <c r="M94" i="3" s="1"/>
  <c r="P70" i="3"/>
  <c r="P86" i="3" s="1"/>
  <c r="G92" i="3"/>
  <c r="G94" i="3" s="1"/>
  <c r="G88" i="3"/>
  <c r="L88" i="3"/>
  <c r="L92" i="3"/>
  <c r="L94" i="3" s="1"/>
  <c r="E88" i="3"/>
  <c r="E92" i="3"/>
  <c r="E94" i="3" s="1"/>
  <c r="L66" i="1"/>
  <c r="L70" i="1" s="1"/>
  <c r="L86" i="1" s="1"/>
  <c r="L88" i="1" s="1"/>
  <c r="F66" i="1"/>
  <c r="F70" i="1" s="1"/>
  <c r="F86" i="1" s="1"/>
  <c r="F88" i="1" s="1"/>
  <c r="P57" i="1"/>
  <c r="P68" i="1"/>
  <c r="K64" i="1"/>
  <c r="K66" i="1" s="1"/>
  <c r="K70" i="1" s="1"/>
  <c r="K86" i="1" s="1"/>
  <c r="K88" i="1" s="1"/>
  <c r="E66" i="1"/>
  <c r="E70" i="1" s="1"/>
  <c r="E86" i="1" s="1"/>
  <c r="E88" i="1" s="1"/>
  <c r="M66" i="1"/>
  <c r="M70" i="1" s="1"/>
  <c r="M86" i="1" s="1"/>
  <c r="M88" i="1" s="1"/>
  <c r="P58" i="1"/>
  <c r="P62" i="1"/>
  <c r="P64" i="1" s="1"/>
  <c r="N66" i="1"/>
  <c r="N70" i="1" s="1"/>
  <c r="N86" i="1" s="1"/>
  <c r="N88" i="1" s="1"/>
  <c r="H59" i="1"/>
  <c r="H66" i="1" s="1"/>
  <c r="H70" i="1" s="1"/>
  <c r="H86" i="1" s="1"/>
  <c r="H92" i="1" s="1"/>
  <c r="H94" i="1" s="1"/>
  <c r="J66" i="1"/>
  <c r="J70" i="1" s="1"/>
  <c r="J86" i="1" s="1"/>
  <c r="J88" i="1" s="1"/>
  <c r="D59" i="1"/>
  <c r="D66" i="1" s="1"/>
  <c r="D70" i="1" s="1"/>
  <c r="D86" i="1" s="1"/>
  <c r="D88" i="1" s="1"/>
  <c r="I66" i="1"/>
  <c r="I70" i="1" s="1"/>
  <c r="I86" i="1" s="1"/>
  <c r="I88" i="1" s="1"/>
  <c r="G66" i="1"/>
  <c r="G70" i="1" s="1"/>
  <c r="G86" i="1" s="1"/>
  <c r="G92" i="1" s="1"/>
  <c r="G94" i="1" s="1"/>
  <c r="P92" i="3" l="1"/>
  <c r="P94" i="3" s="1"/>
  <c r="P88" i="3"/>
  <c r="L92" i="1"/>
  <c r="L94" i="1" s="1"/>
  <c r="N92" i="1"/>
  <c r="N94" i="1" s="1"/>
  <c r="I92" i="1"/>
  <c r="I94" i="1" s="1"/>
  <c r="P59" i="1"/>
  <c r="P66" i="1" s="1"/>
  <c r="P70" i="1" s="1"/>
  <c r="P86" i="1" s="1"/>
  <c r="P88" i="1" s="1"/>
  <c r="G88" i="1"/>
  <c r="F92" i="1"/>
  <c r="F94" i="1" s="1"/>
  <c r="E92" i="1"/>
  <c r="E94" i="1" s="1"/>
  <c r="M92" i="1"/>
  <c r="M94" i="1" s="1"/>
  <c r="J92" i="1"/>
  <c r="J94" i="1" s="1"/>
  <c r="H88" i="1"/>
  <c r="K92" i="1"/>
  <c r="K94" i="1" s="1"/>
  <c r="D92" i="1"/>
  <c r="D94" i="1" s="1"/>
  <c r="P92" i="1" l="1"/>
  <c r="P94" i="1" s="1"/>
</calcChain>
</file>

<file path=xl/sharedStrings.xml><?xml version="1.0" encoding="utf-8"?>
<sst xmlns="http://schemas.openxmlformats.org/spreadsheetml/2006/main" count="288" uniqueCount="87">
  <si>
    <t>Year 0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</si>
  <si>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</si>
  <si>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</si>
  <si>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</si>
  <si>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</si>
  <si>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</si>
  <si>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</si>
  <si>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</si>
  <si>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</si>
  <si>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</si>
  <si>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</si>
  <si>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Total</t>
  </si>
  <si>
    <t>Tuition Fee</t>
  </si>
  <si>
    <t>Student Recruitment</t>
  </si>
  <si>
    <t>Costs:</t>
  </si>
  <si>
    <t>Academic Staffing Costs:</t>
  </si>
  <si>
    <t>Position</t>
  </si>
  <si>
    <t>FTE</t>
  </si>
  <si>
    <t>Exsisting Staff workload allocation</t>
  </si>
  <si>
    <t>Addional Staff</t>
  </si>
  <si>
    <t>Cost of additional staff</t>
  </si>
  <si>
    <t>Total Academic Staff Cost</t>
  </si>
  <si>
    <t>Please input information in the blue cells</t>
  </si>
  <si>
    <t>Total Exsisting Staff FTE</t>
  </si>
  <si>
    <t>Cost P.A.</t>
  </si>
  <si>
    <t>New Staff workload allocation</t>
  </si>
  <si>
    <t>£</t>
  </si>
  <si>
    <t>No.'s</t>
  </si>
  <si>
    <t>Additional Professional Services Posts</t>
  </si>
  <si>
    <t>Grade</t>
  </si>
  <si>
    <t>Description of Post</t>
  </si>
  <si>
    <t>Additional Professional Services Staffing Costs</t>
  </si>
  <si>
    <t>Total Staffing Costs</t>
  </si>
  <si>
    <t>Non - Pay Costs</t>
  </si>
  <si>
    <t>Insert description here</t>
  </si>
  <si>
    <t>Total Non Pay Costs</t>
  </si>
  <si>
    <t>Net Contribution (before overheads)</t>
  </si>
  <si>
    <t>Contribution margin</t>
  </si>
  <si>
    <t>FEC Surplus/(Deficit)</t>
  </si>
  <si>
    <t>FEC Margin</t>
  </si>
  <si>
    <t>Overhead (based on charge per student)</t>
  </si>
  <si>
    <t>Home</t>
  </si>
  <si>
    <t>Overseas</t>
  </si>
  <si>
    <t>Total Tution Fee Income</t>
  </si>
  <si>
    <t>Tution Fee Income:</t>
  </si>
  <si>
    <t>Total New Staff FTE</t>
  </si>
  <si>
    <t>Total Academic Staffing</t>
  </si>
  <si>
    <t>Type of Course</t>
  </si>
  <si>
    <t>Mode of Delivery</t>
  </si>
  <si>
    <t>Programme Name</t>
  </si>
  <si>
    <t>MSc in XXXX</t>
  </si>
  <si>
    <t>Type of course</t>
  </si>
  <si>
    <t>Lab Based</t>
  </si>
  <si>
    <t>Non Lab Based</t>
  </si>
  <si>
    <t>Study Method</t>
  </si>
  <si>
    <t>Full-time on campus</t>
  </si>
  <si>
    <t>Part-time on campus</t>
  </si>
  <si>
    <t>Distance Learning</t>
  </si>
  <si>
    <t>Overhead Type</t>
  </si>
  <si>
    <t>Wet Lab</t>
  </si>
  <si>
    <t>Dry Lab</t>
  </si>
  <si>
    <t>Classroom</t>
  </si>
  <si>
    <t>Roles</t>
  </si>
  <si>
    <t>Clinical Professor</t>
  </si>
  <si>
    <t>Non Clinical Professor</t>
  </si>
  <si>
    <t>Clinical Reader</t>
  </si>
  <si>
    <t>Non Clinical Reader</t>
  </si>
  <si>
    <t>Senior Lecturer</t>
  </si>
  <si>
    <t>Lecturer Grade 8</t>
  </si>
  <si>
    <t>Lecturer Grade 7</t>
  </si>
  <si>
    <t>Total Number of Students</t>
  </si>
  <si>
    <t>Guide required staff FTE based on 1:18 Student to Staff Ratio</t>
  </si>
  <si>
    <t>Grade 8</t>
  </si>
  <si>
    <t>Grade 7</t>
  </si>
  <si>
    <t>Grade 6</t>
  </si>
  <si>
    <t>Grade 5</t>
  </si>
  <si>
    <t>Grade 4</t>
  </si>
  <si>
    <t>Grade 3</t>
  </si>
  <si>
    <t>Grade 10</t>
  </si>
  <si>
    <t>Grade 9</t>
  </si>
  <si>
    <t>Please enter information here</t>
  </si>
  <si>
    <t>Please change description as appropriate</t>
  </si>
  <si>
    <t>Marketing</t>
  </si>
  <si>
    <t>Travel</t>
  </si>
  <si>
    <t>Speakers</t>
  </si>
  <si>
    <t>Salary Inflation</t>
  </si>
  <si>
    <t>Cost of existing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</si>
</sst>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£&quot;#,##0;\-&quot;£&quot;#,##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_-* #,##0.0_-;\-* #,##0.0_-;_-* &quot;-&quot;??_-;_-@_-"/>
    <numFmt numFmtId="166" formatCode="_-* #,##0_-;\-* #,##0_-;_-* &quot;-&quot;??_-;_-@_-"/>
    <numFmt numFmtId="167" formatCode="#,##0;[Red]\(#,##0\);&quot;-&quot;"/>
    <numFmt numFmtId="168" formatCode="0%;[Red]\(0%\);&quot;-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1" xfId="0" applyFont="1" applyBorder="1"/>
    <xf numFmtId="0" fontId="2" fillId="0" borderId="0" xfId="0" applyFont="1" applyBorder="1"/>
    <xf numFmtId="0" fontId="0" fillId="0" borderId="1" xfId="0" applyFill="1" applyBorder="1"/>
    <xf numFmtId="0" fontId="0" fillId="2" borderId="1" xfId="0" applyFill="1" applyBorder="1"/>
    <xf numFmtId="0" fontId="2" fillId="2" borderId="1" xfId="0" applyFont="1" applyFill="1" applyBorder="1"/>
    <xf numFmtId="0" fontId="2" fillId="0" borderId="0" xfId="0" applyFont="1"/>
    <xf numFmtId="0" fontId="0" fillId="3" borderId="1" xfId="0" applyFill="1" applyBorder="1"/>
    <xf numFmtId="0" fontId="0" fillId="0" borderId="2" xfId="0" applyBorder="1"/>
    <xf numFmtId="0" fontId="2" fillId="0" borderId="1" xfId="0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Fill="1" applyBorder="1"/>
    <xf numFmtId="164" fontId="0" fillId="3" borderId="1" xfId="2" applyNumberFormat="1" applyFont="1" applyFill="1" applyBorder="1"/>
    <xf numFmtId="43" fontId="0" fillId="3" borderId="1" xfId="1" applyFont="1" applyFill="1" applyBorder="1"/>
    <xf numFmtId="43" fontId="0" fillId="2" borderId="1" xfId="1" applyFont="1" applyFill="1" applyBorder="1"/>
    <xf numFmtId="166" fontId="2" fillId="2" borderId="1" xfId="1" applyNumberFormat="1" applyFont="1" applyFill="1" applyBorder="1"/>
    <xf numFmtId="166" fontId="2" fillId="0" borderId="0" xfId="1" applyNumberFormat="1" applyFont="1"/>
    <xf numFmtId="166" fontId="0" fillId="0" borderId="0" xfId="1" applyNumberFormat="1" applyFont="1"/>
    <xf numFmtId="166" fontId="0" fillId="0" borderId="1" xfId="1" applyNumberFormat="1" applyFont="1" applyBorder="1"/>
    <xf numFmtId="0" fontId="2" fillId="0" borderId="4" xfId="0" applyFont="1" applyBorder="1"/>
    <xf numFmtId="0" fontId="2" fillId="0" borderId="4" xfId="0" applyFont="1" applyFill="1" applyBorder="1"/>
    <xf numFmtId="0" fontId="2" fillId="0" borderId="5" xfId="0" applyFont="1" applyBorder="1"/>
    <xf numFmtId="0" fontId="2" fillId="0" borderId="5" xfId="0" applyFont="1" applyFill="1" applyBorder="1"/>
    <xf numFmtId="0" fontId="0" fillId="0" borderId="1" xfId="0" applyFont="1" applyBorder="1"/>
    <xf numFmtId="0" fontId="0" fillId="0" borderId="1" xfId="0" applyFont="1" applyFill="1" applyBorder="1"/>
    <xf numFmtId="166" fontId="0" fillId="3" borderId="1" xfId="1" applyNumberFormat="1" applyFont="1" applyFill="1" applyBorder="1"/>
    <xf numFmtId="165" fontId="0" fillId="2" borderId="1" xfId="1" applyNumberFormat="1" applyFont="1" applyFill="1" applyBorder="1" applyAlignment="1">
      <alignment horizontal="center"/>
    </xf>
    <xf numFmtId="166" fontId="0" fillId="2" borderId="1" xfId="1" applyNumberFormat="1" applyFont="1" applyFill="1" applyBorder="1"/>
    <xf numFmtId="166" fontId="2" fillId="2" borderId="1" xfId="1" applyNumberFormat="1" applyFont="1" applyFill="1" applyBorder="1" applyAlignment="1">
      <alignment horizontal="center"/>
    </xf>
    <xf numFmtId="0" fontId="2" fillId="4" borderId="1" xfId="0" applyFont="1" applyFill="1" applyBorder="1"/>
    <xf numFmtId="0" fontId="0" fillId="0" borderId="0" xfId="0" applyFill="1"/>
    <xf numFmtId="43" fontId="0" fillId="0" borderId="0" xfId="1" applyFont="1" applyFill="1" applyBorder="1"/>
    <xf numFmtId="0" fontId="0" fillId="3" borderId="1" xfId="0" applyFill="1" applyBorder="1" applyAlignment="1">
      <alignment wrapText="1"/>
    </xf>
    <xf numFmtId="5" fontId="0" fillId="0" borderId="1" xfId="2" applyNumberFormat="1" applyFont="1" applyFill="1" applyBorder="1" applyAlignment="1">
      <alignment horizontal="left" wrapText="1"/>
    </xf>
    <xf numFmtId="166" fontId="0" fillId="0" borderId="1" xfId="0" applyNumberFormat="1" applyBorder="1"/>
    <xf numFmtId="166" fontId="0" fillId="2" borderId="1" xfId="0" applyNumberFormat="1" applyFill="1" applyBorder="1"/>
    <xf numFmtId="166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/>
    <xf numFmtId="166" fontId="0" fillId="0" borderId="0" xfId="1" applyNumberFormat="1" applyFont="1" applyFill="1" applyBorder="1"/>
    <xf numFmtId="166" fontId="2" fillId="0" borderId="1" xfId="1" applyNumberFormat="1" applyFont="1" applyBorder="1" applyAlignment="1">
      <alignment horizontal="center"/>
    </xf>
    <xf numFmtId="166" fontId="0" fillId="0" borderId="1" xfId="1" applyNumberFormat="1" applyFont="1" applyFill="1" applyBorder="1" applyAlignment="1">
      <alignment vertical="center"/>
    </xf>
    <xf numFmtId="166" fontId="0" fillId="2" borderId="1" xfId="1" applyNumberFormat="1" applyFont="1" applyFill="1" applyBorder="1" applyAlignment="1"/>
    <xf numFmtId="166" fontId="0" fillId="0" borderId="5" xfId="1" applyNumberFormat="1" applyFont="1" applyBorder="1"/>
    <xf numFmtId="166" fontId="0" fillId="0" borderId="4" xfId="1" applyNumberFormat="1" applyFont="1" applyBorder="1"/>
    <xf numFmtId="0" fontId="0" fillId="0" borderId="3" xfId="0" applyFill="1" applyBorder="1"/>
    <xf numFmtId="0" fontId="0" fillId="0" borderId="3" xfId="0" applyBorder="1"/>
    <xf numFmtId="166" fontId="0" fillId="0" borderId="3" xfId="1" applyNumberFormat="1" applyFont="1" applyBorder="1"/>
    <xf numFmtId="0" fontId="0" fillId="0" borderId="4" xfId="0" applyBorder="1"/>
    <xf numFmtId="166" fontId="2" fillId="0" borderId="0" xfId="1" applyNumberFormat="1" applyFont="1" applyBorder="1"/>
    <xf numFmtId="0" fontId="0" fillId="0" borderId="5" xfId="0" applyBorder="1"/>
    <xf numFmtId="167" fontId="2" fillId="4" borderId="1" xfId="1" applyNumberFormat="1" applyFont="1" applyFill="1" applyBorder="1"/>
    <xf numFmtId="167" fontId="2" fillId="0" borderId="0" xfId="1" applyNumberFormat="1" applyFont="1"/>
    <xf numFmtId="168" fontId="2" fillId="4" borderId="1" xfId="3" applyNumberFormat="1" applyFont="1" applyFill="1" applyBorder="1" applyAlignment="1">
      <alignment horizontal="center" vertical="center"/>
    </xf>
    <xf numFmtId="168" fontId="2" fillId="0" borderId="0" xfId="3" applyNumberFormat="1" applyFont="1"/>
    <xf numFmtId="168" fontId="2" fillId="4" borderId="1" xfId="1" applyNumberFormat="1" applyFont="1" applyFill="1" applyBorder="1" applyAlignment="1">
      <alignment horizontal="center" vertical="center"/>
    </xf>
    <xf numFmtId="168" fontId="2" fillId="4" borderId="1" xfId="3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0" fontId="0" fillId="0" borderId="0" xfId="0" applyNumberFormat="1"/>
    <xf numFmtId="42" fontId="0" fillId="0" borderId="0" xfId="2" applyNumberFormat="1" applyFont="1"/>
    <xf numFmtId="42" fontId="0" fillId="0" borderId="0" xfId="0" applyNumberFormat="1"/>
    <xf numFmtId="3" fontId="0" fillId="2" borderId="1" xfId="1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590550</xdr:colOff>
      <xdr:row>84</xdr:row>
      <xdr:rowOff>180975</xdr:rowOff>
    </xdr:from>
    <xdr:to>
      <xdr:col>21</xdr:col>
      <xdr:colOff>85725</xdr:colOff>
      <xdr:row>88</xdr:row>
      <xdr:rowOff>9525</xdr:rowOff>
    </xdr:to>
    <xdr:sp macro="" textlink="">
      <xdr:nvSpPr>
        <xdr:cNvPr id="2" name="Rounded Rectangle 1"/>
        <xdr:cNvSpPr/>
      </xdr:nvSpPr>
      <xdr:spPr>
        <a:xfrm>
          <a:off x="13782675" y="16392525"/>
          <a:ext cx="2543175" cy="5905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Must meet minimum 25% contribution margin by</a:t>
          </a:r>
          <a:r>
            <a:rPr lang="en-GB" sz="1100" baseline="0"/>
            <a:t> year 5</a:t>
          </a:r>
          <a:r>
            <a:rPr lang="en-GB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</a:t>
          </a:r>
          <a:endParaRPr lang="en-GB" sz="1100"/>
        </a:p>
      </xdr:txBody>
    </xdr:sp>
    <xdr:clientData/>
  </xdr:twoCellAnchor>
  <xdr:twoCellAnchor>
    <xdr:from>
      <xdr:col>17</xdr:col>
      <xdr:colOff>0</xdr:colOff>
      <xdr:row>91</xdr:row>
      <xdr:rowOff>0</xdr:rowOff>
    </xdr:from>
    <xdr:to>
      <xdr:col>21</xdr:col>
      <xdr:colOff>104775</xdr:colOff>
      <xdr:row>94</xdr:row>
      <xdr:rowOff>19050</xdr:rowOff>
    </xdr:to>
    <xdr:sp macro="" textlink="">
      <xdr:nvSpPr>
        <xdr:cNvPr id="4" name="Rounded Rectangle 3"/>
        <xdr:cNvSpPr/>
      </xdr:nvSpPr>
      <xdr:spPr>
        <a:xfrm>
          <a:off x="13801725" y="17545050"/>
          <a:ext cx="2543175" cy="5905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Must meet minimum 5% contribution margin by</a:t>
          </a:r>
          <a:r>
            <a:rPr lang="en-GB" sz="1100" baseline="0"/>
            <a:t> year 5</a:t>
          </a:r>
          <a:r>
            <a:rPr lang="en-GB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   </a:t>
          </a:r>
        </a:p>
        <a:p>
          <a:pPr algn="l"/>
          <a:endParaRPr lang="en-GB" sz="1100"/>
        </a:p>
      </xdr:txBody>
    </xdr:sp>
    <xdr:clientData/>
  </xdr:twoCellAnchor>
  <xdr:twoCellAnchor>
    <xdr:from>
      <xdr:col>16</xdr:col>
      <xdr:colOff>104774</xdr:colOff>
      <xdr:row>87</xdr:row>
      <xdr:rowOff>38101</xdr:rowOff>
    </xdr:from>
    <xdr:to>
      <xdr:col>16</xdr:col>
      <xdr:colOff>476249</xdr:colOff>
      <xdr:row>87</xdr:row>
      <xdr:rowOff>171451</xdr:rowOff>
    </xdr:to>
    <xdr:sp macro="" textlink="">
      <xdr:nvSpPr>
        <xdr:cNvPr id="5" name="Left Arrow 4"/>
        <xdr:cNvSpPr/>
      </xdr:nvSpPr>
      <xdr:spPr>
        <a:xfrm>
          <a:off x="13296899" y="16821151"/>
          <a:ext cx="371475" cy="1333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171450</xdr:colOff>
      <xdr:row>93</xdr:row>
      <xdr:rowOff>9525</xdr:rowOff>
    </xdr:from>
    <xdr:to>
      <xdr:col>16</xdr:col>
      <xdr:colOff>542925</xdr:colOff>
      <xdr:row>93</xdr:row>
      <xdr:rowOff>142875</xdr:rowOff>
    </xdr:to>
    <xdr:sp macro="" textlink="">
      <xdr:nvSpPr>
        <xdr:cNvPr id="6" name="Left Arrow 5"/>
        <xdr:cNvSpPr/>
      </xdr:nvSpPr>
      <xdr:spPr>
        <a:xfrm>
          <a:off x="13363575" y="17935575"/>
          <a:ext cx="371475" cy="1333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590550</xdr:colOff>
      <xdr:row>84</xdr:row>
      <xdr:rowOff>180975</xdr:rowOff>
    </xdr:from>
    <xdr:to>
      <xdr:col>21</xdr:col>
      <xdr:colOff>85725</xdr:colOff>
      <xdr:row>88</xdr:row>
      <xdr:rowOff>9525</xdr:rowOff>
    </xdr:to>
    <xdr:sp macro="" textlink="">
      <xdr:nvSpPr>
        <xdr:cNvPr id="2" name="Rounded Rectangle 1"/>
        <xdr:cNvSpPr/>
      </xdr:nvSpPr>
      <xdr:spPr>
        <a:xfrm>
          <a:off x="14820900" y="16230600"/>
          <a:ext cx="2543175" cy="5905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Must meet minimum 25% contribution margin by</a:t>
          </a:r>
          <a:r>
            <a:rPr lang="en-GB" sz="1100" baseline="0"/>
            <a:t> year 5</a:t>
          </a:r>
          <a:r>
            <a:rPr lang="en-GB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</a:t>
          </a:r>
          <a:endParaRPr lang="en-GB" sz="1100"/>
        </a:p>
      </xdr:txBody>
    </xdr:sp>
    <xdr:clientData/>
  </xdr:twoCellAnchor>
  <xdr:twoCellAnchor>
    <xdr:from>
      <xdr:col>17</xdr:col>
      <xdr:colOff>0</xdr:colOff>
      <xdr:row>91</xdr:row>
      <xdr:rowOff>0</xdr:rowOff>
    </xdr:from>
    <xdr:to>
      <xdr:col>21</xdr:col>
      <xdr:colOff>104775</xdr:colOff>
      <xdr:row>94</xdr:row>
      <xdr:rowOff>19050</xdr:rowOff>
    </xdr:to>
    <xdr:sp macro="" textlink="">
      <xdr:nvSpPr>
        <xdr:cNvPr id="3" name="Rounded Rectangle 2"/>
        <xdr:cNvSpPr/>
      </xdr:nvSpPr>
      <xdr:spPr>
        <a:xfrm>
          <a:off x="14839950" y="17383125"/>
          <a:ext cx="2543175" cy="59055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Must meet minimum 5% contribution margin by</a:t>
          </a:r>
          <a:r>
            <a:rPr lang="en-GB" sz="1100" baseline="0"/>
            <a:t> year 5</a:t>
          </a:r>
          <a:r>
            <a:rPr lang="en-GB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   </a:t>
          </a:r>
        </a:p>
        <a:p>
          <a:pPr algn="l"/>
          <a:endParaRPr lang="en-GB" sz="1100"/>
        </a:p>
      </xdr:txBody>
    </xdr:sp>
    <xdr:clientData/>
  </xdr:twoCellAnchor>
  <xdr:twoCellAnchor>
    <xdr:from>
      <xdr:col>16</xdr:col>
      <xdr:colOff>104774</xdr:colOff>
      <xdr:row>87</xdr:row>
      <xdr:rowOff>38101</xdr:rowOff>
    </xdr:from>
    <xdr:to>
      <xdr:col>16</xdr:col>
      <xdr:colOff>476249</xdr:colOff>
      <xdr:row>87</xdr:row>
      <xdr:rowOff>171451</xdr:rowOff>
    </xdr:to>
    <xdr:sp macro="" textlink="">
      <xdr:nvSpPr>
        <xdr:cNvPr id="4" name="Left Arrow 3"/>
        <xdr:cNvSpPr/>
      </xdr:nvSpPr>
      <xdr:spPr>
        <a:xfrm>
          <a:off x="14335124" y="16659226"/>
          <a:ext cx="371475" cy="1333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171450</xdr:colOff>
      <xdr:row>93</xdr:row>
      <xdr:rowOff>9525</xdr:rowOff>
    </xdr:from>
    <xdr:to>
      <xdr:col>16</xdr:col>
      <xdr:colOff>542925</xdr:colOff>
      <xdr:row>93</xdr:row>
      <xdr:rowOff>142875</xdr:rowOff>
    </xdr:to>
    <xdr:sp macro="" textlink="">
      <xdr:nvSpPr>
        <xdr:cNvPr id="5" name="Left Arrow 4"/>
        <xdr:cNvSpPr/>
      </xdr:nvSpPr>
      <xdr:spPr>
        <a:xfrm>
          <a:off x="14401800" y="17773650"/>
          <a:ext cx="371475" cy="1333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95"/>
  <sheetViews>
    <sheetView tabSelected="1" topLeftCell="A52" zoomScale="75" zoomScaleNormal="75" workbookViewId="0">
      <selection activeCell="A98" sqref="A98"/>
    </sheetView>
  </sheetViews>
  <sheetFormatPr defaultRowHeight="15" x14ac:dyDescent="0.25"/>
  <cols>
    <col min="1" max="1" width="43" bestFit="1" customWidth="1"/>
    <col min="2" max="2" width="27.28515625" customWidth="1"/>
    <col min="3" max="3" width="4.42578125" customWidth="1"/>
    <col min="4" max="5" width="10" bestFit="1" customWidth="1"/>
    <col min="6" max="14" width="11.5703125" bestFit="1" customWidth="1"/>
    <col min="15" max="15" width="2.5703125" customWidth="1"/>
    <col min="16" max="16" width="12" style="23" customWidth="1"/>
  </cols>
  <sheetData>
    <row r="2" spans="1:16" ht="15" customHeight="1" x14ac:dyDescent="0.25">
      <c r="A2" s="62" t="str">
        <f>CONCATENATE(B6," Financial Plan")</f>
        <v>MSc in XXXX Financial Plan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4"/>
    </row>
    <row r="3" spans="1:16" ht="15.75" customHeight="1" x14ac:dyDescent="0.25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7"/>
    </row>
    <row r="5" spans="1:16" x14ac:dyDescent="0.25">
      <c r="A5" s="9" t="s">
        <v>22</v>
      </c>
    </row>
    <row r="6" spans="1:16" x14ac:dyDescent="0.25">
      <c r="A6" s="5" t="s">
        <v>49</v>
      </c>
      <c r="B6" s="38" t="s">
        <v>50</v>
      </c>
    </row>
    <row r="7" spans="1:16" x14ac:dyDescent="0.25">
      <c r="A7" s="5" t="s">
        <v>47</v>
      </c>
      <c r="B7" s="9" t="s">
        <v>61</v>
      </c>
    </row>
    <row r="8" spans="1:16" x14ac:dyDescent="0.25">
      <c r="A8" s="5" t="s">
        <v>48</v>
      </c>
      <c r="B8" s="9" t="s">
        <v>55</v>
      </c>
    </row>
    <row r="10" spans="1:16" s="14" customFormat="1" x14ac:dyDescent="0.25">
      <c r="D10" s="15" t="s">
        <v>0</v>
      </c>
      <c r="E10" s="15" t="s">
        <v>1</v>
      </c>
      <c r="F10" s="15" t="s">
        <v>2</v>
      </c>
      <c r="G10" s="15" t="s">
        <v>3</v>
      </c>
      <c r="H10" s="15" t="s">
        <v>4</v>
      </c>
      <c r="I10" s="15" t="s">
        <v>5</v>
      </c>
      <c r="J10" s="15" t="s">
        <v>6</v>
      </c>
      <c r="K10" s="15" t="s">
        <v>7</v>
      </c>
      <c r="L10" s="15" t="s">
        <v>8</v>
      </c>
      <c r="M10" s="15" t="s">
        <v>9</v>
      </c>
      <c r="N10" s="15" t="s">
        <v>10</v>
      </c>
      <c r="P10" s="42"/>
    </row>
    <row r="12" spans="1:16" x14ac:dyDescent="0.25">
      <c r="D12" s="15" t="s">
        <v>26</v>
      </c>
      <c r="E12" s="15" t="s">
        <v>26</v>
      </c>
      <c r="F12" s="15" t="s">
        <v>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  <c r="N12" s="15" t="s">
        <v>26</v>
      </c>
    </row>
    <row r="13" spans="1:16" x14ac:dyDescent="0.25">
      <c r="A13" s="3" t="s">
        <v>12</v>
      </c>
    </row>
    <row r="14" spans="1:16" x14ac:dyDescent="0.25">
      <c r="A14" s="1" t="s">
        <v>41</v>
      </c>
      <c r="B14" s="2"/>
      <c r="D14" s="18"/>
      <c r="E14" s="18">
        <v>5000</v>
      </c>
      <c r="F14" s="18">
        <v>5000</v>
      </c>
      <c r="G14" s="18">
        <v>5000</v>
      </c>
      <c r="H14" s="18">
        <v>5000</v>
      </c>
      <c r="I14" s="18">
        <v>5000</v>
      </c>
      <c r="J14" s="18">
        <v>5000</v>
      </c>
      <c r="K14" s="18">
        <v>5000</v>
      </c>
      <c r="L14" s="18">
        <v>5000</v>
      </c>
      <c r="M14" s="18">
        <v>5000</v>
      </c>
      <c r="N14" s="18">
        <v>5000</v>
      </c>
      <c r="P14" s="43"/>
    </row>
    <row r="15" spans="1:16" x14ac:dyDescent="0.25">
      <c r="A15" s="1" t="s">
        <v>42</v>
      </c>
      <c r="B15" s="2"/>
      <c r="D15" s="18"/>
      <c r="E15" s="18">
        <v>18000</v>
      </c>
      <c r="F15" s="18">
        <v>18000</v>
      </c>
      <c r="G15" s="18">
        <v>18000</v>
      </c>
      <c r="H15" s="18">
        <v>18000</v>
      </c>
      <c r="I15" s="18">
        <v>18000</v>
      </c>
      <c r="J15" s="18">
        <v>18000</v>
      </c>
      <c r="K15" s="18">
        <v>18000</v>
      </c>
      <c r="L15" s="18">
        <v>18000</v>
      </c>
      <c r="M15" s="18">
        <v>18000</v>
      </c>
      <c r="N15" s="18">
        <v>18000</v>
      </c>
      <c r="P15" s="43"/>
    </row>
    <row r="17" spans="1:16" x14ac:dyDescent="0.25">
      <c r="D17" s="15" t="s">
        <v>27</v>
      </c>
      <c r="E17" s="15" t="s">
        <v>27</v>
      </c>
      <c r="F17" s="15" t="s">
        <v>27</v>
      </c>
      <c r="G17" s="15" t="s">
        <v>27</v>
      </c>
      <c r="H17" s="15" t="s">
        <v>27</v>
      </c>
      <c r="I17" s="15" t="s">
        <v>27</v>
      </c>
      <c r="J17" s="15" t="s">
        <v>27</v>
      </c>
      <c r="K17" s="15" t="s">
        <v>27</v>
      </c>
      <c r="L17" s="15" t="s">
        <v>27</v>
      </c>
      <c r="M17" s="15" t="s">
        <v>27</v>
      </c>
      <c r="N17" s="15" t="s">
        <v>27</v>
      </c>
    </row>
    <row r="18" spans="1:16" x14ac:dyDescent="0.25">
      <c r="A18" s="3" t="s">
        <v>13</v>
      </c>
    </row>
    <row r="19" spans="1:16" x14ac:dyDescent="0.25">
      <c r="A19" s="1" t="s">
        <v>41</v>
      </c>
      <c r="B19" s="2"/>
      <c r="D19" s="31"/>
      <c r="E19" s="31">
        <v>5</v>
      </c>
      <c r="F19" s="31">
        <v>8</v>
      </c>
      <c r="G19" s="31">
        <v>10</v>
      </c>
      <c r="H19" s="31">
        <v>12</v>
      </c>
      <c r="I19" s="31">
        <v>12</v>
      </c>
      <c r="J19" s="31">
        <v>12</v>
      </c>
      <c r="K19" s="31">
        <v>12</v>
      </c>
      <c r="L19" s="31">
        <v>12</v>
      </c>
      <c r="M19" s="31">
        <v>12</v>
      </c>
      <c r="N19" s="31">
        <v>12</v>
      </c>
      <c r="P19" s="43"/>
    </row>
    <row r="20" spans="1:16" x14ac:dyDescent="0.25">
      <c r="A20" s="1" t="s">
        <v>42</v>
      </c>
      <c r="B20" s="2"/>
      <c r="D20" s="31"/>
      <c r="E20" s="31">
        <v>5</v>
      </c>
      <c r="F20" s="31">
        <v>10</v>
      </c>
      <c r="G20" s="31">
        <v>15</v>
      </c>
      <c r="H20" s="31">
        <v>18</v>
      </c>
      <c r="I20" s="31">
        <v>18</v>
      </c>
      <c r="J20" s="31">
        <v>18</v>
      </c>
      <c r="K20" s="31">
        <v>18</v>
      </c>
      <c r="L20" s="31">
        <v>18</v>
      </c>
      <c r="M20" s="31">
        <v>18</v>
      </c>
      <c r="N20" s="31">
        <v>18</v>
      </c>
      <c r="P20" s="43"/>
    </row>
    <row r="21" spans="1:16" x14ac:dyDescent="0.25">
      <c r="A21" s="5" t="s">
        <v>70</v>
      </c>
      <c r="D21" s="41">
        <f>SUM(D19:D20)</f>
        <v>0</v>
      </c>
      <c r="E21" s="41">
        <f t="shared" ref="E21:N21" si="0">SUM(E19:E20)</f>
        <v>10</v>
      </c>
      <c r="F21" s="41">
        <f t="shared" si="0"/>
        <v>18</v>
      </c>
      <c r="G21" s="41">
        <f t="shared" si="0"/>
        <v>25</v>
      </c>
      <c r="H21" s="41">
        <f t="shared" si="0"/>
        <v>30</v>
      </c>
      <c r="I21" s="41">
        <f t="shared" si="0"/>
        <v>30</v>
      </c>
      <c r="J21" s="41">
        <f t="shared" si="0"/>
        <v>30</v>
      </c>
      <c r="K21" s="41">
        <f t="shared" si="0"/>
        <v>30</v>
      </c>
      <c r="L21" s="41">
        <f t="shared" si="0"/>
        <v>30</v>
      </c>
      <c r="M21" s="41">
        <f t="shared" si="0"/>
        <v>30</v>
      </c>
      <c r="N21" s="41">
        <f t="shared" si="0"/>
        <v>30</v>
      </c>
    </row>
    <row r="22" spans="1:16" x14ac:dyDescent="0.25">
      <c r="B22" s="1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P22" s="43"/>
    </row>
    <row r="23" spans="1:16" x14ac:dyDescent="0.25">
      <c r="A23" s="3" t="s">
        <v>16</v>
      </c>
      <c r="B23" s="11" t="s">
        <v>24</v>
      </c>
      <c r="D23" s="15" t="s">
        <v>17</v>
      </c>
      <c r="E23" s="15" t="s">
        <v>17</v>
      </c>
      <c r="F23" s="15" t="s">
        <v>17</v>
      </c>
      <c r="G23" s="15" t="s">
        <v>17</v>
      </c>
      <c r="H23" s="15" t="s">
        <v>17</v>
      </c>
      <c r="I23" s="15" t="s">
        <v>17</v>
      </c>
      <c r="J23" s="15" t="s">
        <v>17</v>
      </c>
      <c r="K23" s="15" t="s">
        <v>17</v>
      </c>
      <c r="L23" s="15" t="s">
        <v>17</v>
      </c>
      <c r="M23" s="15" t="s">
        <v>17</v>
      </c>
      <c r="N23" s="15" t="s">
        <v>17</v>
      </c>
      <c r="P23" s="43"/>
    </row>
    <row r="24" spans="1:16" x14ac:dyDescent="0.25">
      <c r="A24" s="25"/>
      <c r="B24" s="2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P24" s="43"/>
    </row>
    <row r="25" spans="1:16" x14ac:dyDescent="0.25">
      <c r="A25" s="29" t="s">
        <v>71</v>
      </c>
      <c r="B25" s="30"/>
      <c r="D25" s="32">
        <f>+D21/18</f>
        <v>0</v>
      </c>
      <c r="E25" s="32">
        <f t="shared" ref="E25:N25" si="1">+E21/18</f>
        <v>0.55555555555555558</v>
      </c>
      <c r="F25" s="32">
        <f t="shared" si="1"/>
        <v>1</v>
      </c>
      <c r="G25" s="32">
        <f t="shared" si="1"/>
        <v>1.3888888888888888</v>
      </c>
      <c r="H25" s="32">
        <f t="shared" si="1"/>
        <v>1.6666666666666667</v>
      </c>
      <c r="I25" s="32">
        <f t="shared" si="1"/>
        <v>1.6666666666666667</v>
      </c>
      <c r="J25" s="32">
        <f t="shared" si="1"/>
        <v>1.6666666666666667</v>
      </c>
      <c r="K25" s="32">
        <f t="shared" si="1"/>
        <v>1.6666666666666667</v>
      </c>
      <c r="L25" s="32">
        <f t="shared" si="1"/>
        <v>1.6666666666666667</v>
      </c>
      <c r="M25" s="32">
        <f t="shared" si="1"/>
        <v>1.6666666666666667</v>
      </c>
      <c r="N25" s="32">
        <f t="shared" si="1"/>
        <v>1.6666666666666667</v>
      </c>
      <c r="P25" s="43"/>
    </row>
    <row r="26" spans="1:16" x14ac:dyDescent="0.25">
      <c r="A26" s="27"/>
      <c r="B26" s="28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P26" s="43"/>
    </row>
    <row r="27" spans="1:16" x14ac:dyDescent="0.25">
      <c r="A27" s="3" t="s">
        <v>18</v>
      </c>
      <c r="B27" s="17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P27" s="43"/>
    </row>
    <row r="28" spans="1:16" x14ac:dyDescent="0.25">
      <c r="A28" s="9" t="s">
        <v>67</v>
      </c>
      <c r="B28" s="39">
        <f>VLOOKUP(A28,Workings!$C$13:$E$19,3,0)</f>
        <v>75000</v>
      </c>
      <c r="D28" s="19">
        <v>0.25</v>
      </c>
      <c r="E28" s="19">
        <v>0.25</v>
      </c>
      <c r="F28" s="19">
        <v>0.1</v>
      </c>
      <c r="G28" s="19">
        <v>0.1</v>
      </c>
      <c r="H28" s="19">
        <v>0.1</v>
      </c>
      <c r="I28" s="19">
        <v>0.1</v>
      </c>
      <c r="J28" s="19">
        <v>0.1</v>
      </c>
      <c r="K28" s="19">
        <v>0.1</v>
      </c>
      <c r="L28" s="19">
        <v>0.1</v>
      </c>
      <c r="M28" s="19">
        <v>0.1</v>
      </c>
      <c r="N28" s="19">
        <v>0.1</v>
      </c>
      <c r="P28" s="43"/>
    </row>
    <row r="29" spans="1:16" x14ac:dyDescent="0.25">
      <c r="A29" s="9" t="s">
        <v>69</v>
      </c>
      <c r="B29" s="39">
        <f>VLOOKUP(A29,Workings!$C$13:$E$19,3,0)</f>
        <v>55000</v>
      </c>
      <c r="D29" s="19">
        <v>0.5</v>
      </c>
      <c r="E29" s="19">
        <v>0.5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P29" s="43"/>
    </row>
    <row r="30" spans="1:16" x14ac:dyDescent="0.25">
      <c r="A30" s="1" t="s">
        <v>23</v>
      </c>
      <c r="B30" s="5"/>
      <c r="D30" s="20">
        <f>SUM(D28:D29)</f>
        <v>0.75</v>
      </c>
      <c r="E30" s="20">
        <f t="shared" ref="E30" si="2">SUM(E28:E29)</f>
        <v>0.75</v>
      </c>
      <c r="F30" s="20">
        <f>SUM(F28:F29)</f>
        <v>0.1</v>
      </c>
      <c r="G30" s="20">
        <f t="shared" ref="G30:N30" si="3">SUM(G28:G29)</f>
        <v>0.1</v>
      </c>
      <c r="H30" s="20">
        <f t="shared" si="3"/>
        <v>0.1</v>
      </c>
      <c r="I30" s="20">
        <f t="shared" si="3"/>
        <v>0.1</v>
      </c>
      <c r="J30" s="20">
        <f t="shared" si="3"/>
        <v>0.1</v>
      </c>
      <c r="K30" s="20">
        <f t="shared" si="3"/>
        <v>0.1</v>
      </c>
      <c r="L30" s="20">
        <f t="shared" si="3"/>
        <v>0.1</v>
      </c>
      <c r="M30" s="20">
        <f t="shared" si="3"/>
        <v>0.1</v>
      </c>
      <c r="N30" s="20">
        <f t="shared" si="3"/>
        <v>0.1</v>
      </c>
      <c r="P30" s="43"/>
    </row>
    <row r="31" spans="1:16" x14ac:dyDescent="0.25">
      <c r="A31" s="3" t="s">
        <v>25</v>
      </c>
      <c r="B31" s="10"/>
    </row>
    <row r="32" spans="1:16" x14ac:dyDescent="0.25">
      <c r="A32" s="9" t="s">
        <v>69</v>
      </c>
      <c r="B32" s="39">
        <f>VLOOKUP(A32,Workings!$C$13:$E$19,3,0)</f>
        <v>55000</v>
      </c>
      <c r="D32" s="19">
        <v>0.5</v>
      </c>
      <c r="E32" s="19">
        <v>0.5</v>
      </c>
      <c r="F32" s="19">
        <v>1</v>
      </c>
      <c r="G32" s="19">
        <v>1</v>
      </c>
      <c r="H32" s="19">
        <v>1</v>
      </c>
      <c r="I32" s="19">
        <v>1</v>
      </c>
      <c r="J32" s="19">
        <v>1</v>
      </c>
      <c r="K32" s="19">
        <v>1</v>
      </c>
      <c r="L32" s="19">
        <v>1</v>
      </c>
      <c r="M32" s="19">
        <v>1</v>
      </c>
      <c r="N32" s="19">
        <v>1</v>
      </c>
      <c r="P32" s="43"/>
    </row>
    <row r="33" spans="1:16" x14ac:dyDescent="0.25">
      <c r="A33" s="9" t="s">
        <v>69</v>
      </c>
      <c r="B33" s="39">
        <f>VLOOKUP(A33,Workings!$C$13:$E$19,3,0)</f>
        <v>55000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P33" s="43"/>
    </row>
    <row r="34" spans="1:16" x14ac:dyDescent="0.25">
      <c r="A34" s="6" t="s">
        <v>45</v>
      </c>
      <c r="B34" s="6"/>
      <c r="D34" s="20">
        <f>SUM(D32:D33)</f>
        <v>0.5</v>
      </c>
      <c r="E34" s="20">
        <f t="shared" ref="E34:N34" si="4">SUM(E32:E33)</f>
        <v>0.5</v>
      </c>
      <c r="F34" s="20">
        <f t="shared" si="4"/>
        <v>1</v>
      </c>
      <c r="G34" s="20">
        <f>SUM(G32:G33)</f>
        <v>1</v>
      </c>
      <c r="H34" s="20">
        <f t="shared" si="4"/>
        <v>1</v>
      </c>
      <c r="I34" s="20">
        <f t="shared" si="4"/>
        <v>1</v>
      </c>
      <c r="J34" s="20">
        <f t="shared" si="4"/>
        <v>1</v>
      </c>
      <c r="K34" s="20">
        <f t="shared" si="4"/>
        <v>1</v>
      </c>
      <c r="L34" s="20">
        <f t="shared" si="4"/>
        <v>1</v>
      </c>
      <c r="M34" s="20">
        <f t="shared" si="4"/>
        <v>1</v>
      </c>
      <c r="N34" s="20">
        <f t="shared" si="4"/>
        <v>1</v>
      </c>
      <c r="P34" s="43"/>
    </row>
    <row r="35" spans="1:16" s="36" customFormat="1" x14ac:dyDescent="0.25">
      <c r="A35" s="13"/>
      <c r="B35" s="13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P35" s="44"/>
    </row>
    <row r="36" spans="1:16" s="36" customFormat="1" x14ac:dyDescent="0.25">
      <c r="A36" s="6" t="s">
        <v>46</v>
      </c>
      <c r="B36" s="6"/>
      <c r="D36" s="20">
        <f>+D34+D30</f>
        <v>1.25</v>
      </c>
      <c r="E36" s="20">
        <f t="shared" ref="E36:N36" si="5">+E34+E30</f>
        <v>1.25</v>
      </c>
      <c r="F36" s="20">
        <f>+F34+F30</f>
        <v>1.1000000000000001</v>
      </c>
      <c r="G36" s="20">
        <f>+G34+G30</f>
        <v>1.1000000000000001</v>
      </c>
      <c r="H36" s="20">
        <f t="shared" si="5"/>
        <v>1.1000000000000001</v>
      </c>
      <c r="I36" s="20">
        <f t="shared" si="5"/>
        <v>1.1000000000000001</v>
      </c>
      <c r="J36" s="20">
        <f t="shared" si="5"/>
        <v>1.1000000000000001</v>
      </c>
      <c r="K36" s="20">
        <f t="shared" si="5"/>
        <v>1.1000000000000001</v>
      </c>
      <c r="L36" s="20">
        <f t="shared" si="5"/>
        <v>1.1000000000000001</v>
      </c>
      <c r="M36" s="20">
        <f t="shared" si="5"/>
        <v>1.1000000000000001</v>
      </c>
      <c r="N36" s="20">
        <f t="shared" si="5"/>
        <v>1.1000000000000001</v>
      </c>
      <c r="P36" s="44"/>
    </row>
    <row r="38" spans="1:16" x14ac:dyDescent="0.25">
      <c r="A38" s="3" t="s">
        <v>28</v>
      </c>
      <c r="B38" s="1"/>
    </row>
    <row r="39" spans="1:16" x14ac:dyDescent="0.25">
      <c r="A39" s="29" t="s">
        <v>30</v>
      </c>
      <c r="B39" s="1" t="s">
        <v>29</v>
      </c>
    </row>
    <row r="40" spans="1:16" ht="18" customHeight="1" x14ac:dyDescent="0.25">
      <c r="A40" s="9" t="s">
        <v>80</v>
      </c>
      <c r="B40" s="9" t="s">
        <v>72</v>
      </c>
      <c r="D40" s="19">
        <v>0.5</v>
      </c>
      <c r="E40" s="19">
        <v>0.5</v>
      </c>
      <c r="F40" s="19">
        <v>0.5</v>
      </c>
      <c r="G40" s="19">
        <v>0.5</v>
      </c>
      <c r="H40" s="19">
        <v>0.5</v>
      </c>
      <c r="I40" s="19">
        <v>0.5</v>
      </c>
      <c r="J40" s="19">
        <v>0.5</v>
      </c>
      <c r="K40" s="19">
        <v>0.5</v>
      </c>
      <c r="L40" s="19">
        <v>0.5</v>
      </c>
      <c r="M40" s="19">
        <v>0.5</v>
      </c>
      <c r="N40" s="19">
        <v>0.5</v>
      </c>
      <c r="P40" s="43"/>
    </row>
    <row r="43" spans="1:16" s="14" customFormat="1" x14ac:dyDescent="0.25">
      <c r="D43" s="15" t="s">
        <v>0</v>
      </c>
      <c r="E43" s="15" t="s">
        <v>1</v>
      </c>
      <c r="F43" s="15" t="s">
        <v>2</v>
      </c>
      <c r="G43" s="15" t="s">
        <v>3</v>
      </c>
      <c r="H43" s="15" t="s">
        <v>4</v>
      </c>
      <c r="I43" s="15" t="s">
        <v>5</v>
      </c>
      <c r="J43" s="15" t="s">
        <v>6</v>
      </c>
      <c r="K43" s="15" t="s">
        <v>7</v>
      </c>
      <c r="L43" s="15" t="s">
        <v>8</v>
      </c>
      <c r="M43" s="15" t="s">
        <v>9</v>
      </c>
      <c r="N43" s="15" t="s">
        <v>10</v>
      </c>
      <c r="P43" s="45" t="s">
        <v>11</v>
      </c>
    </row>
    <row r="45" spans="1:16" x14ac:dyDescent="0.25">
      <c r="D45" s="15" t="s">
        <v>26</v>
      </c>
      <c r="E45" s="15" t="s">
        <v>26</v>
      </c>
      <c r="F45" s="15" t="s">
        <v>26</v>
      </c>
      <c r="G45" s="15" t="s">
        <v>26</v>
      </c>
      <c r="H45" s="15" t="s">
        <v>26</v>
      </c>
      <c r="I45" s="15" t="s">
        <v>26</v>
      </c>
      <c r="J45" s="15" t="s">
        <v>26</v>
      </c>
      <c r="K45" s="15" t="s">
        <v>26</v>
      </c>
      <c r="L45" s="15" t="s">
        <v>26</v>
      </c>
      <c r="M45" s="15" t="s">
        <v>26</v>
      </c>
      <c r="N45" s="15" t="s">
        <v>26</v>
      </c>
      <c r="P45" s="45" t="s">
        <v>26</v>
      </c>
    </row>
    <row r="47" spans="1:16" x14ac:dyDescent="0.25">
      <c r="A47" s="3" t="s">
        <v>44</v>
      </c>
    </row>
    <row r="48" spans="1:16" x14ac:dyDescent="0.25">
      <c r="A48" s="1" t="s">
        <v>41</v>
      </c>
      <c r="B48" s="1"/>
      <c r="D48" s="40">
        <f>+D14*D19</f>
        <v>0</v>
      </c>
      <c r="E48" s="40">
        <f t="shared" ref="E48:N48" si="6">+E14*E19</f>
        <v>25000</v>
      </c>
      <c r="F48" s="40">
        <f t="shared" si="6"/>
        <v>40000</v>
      </c>
      <c r="G48" s="40">
        <f t="shared" si="6"/>
        <v>50000</v>
      </c>
      <c r="H48" s="40">
        <f t="shared" si="6"/>
        <v>60000</v>
      </c>
      <c r="I48" s="40">
        <f t="shared" si="6"/>
        <v>60000</v>
      </c>
      <c r="J48" s="40">
        <f t="shared" si="6"/>
        <v>60000</v>
      </c>
      <c r="K48" s="40">
        <f t="shared" si="6"/>
        <v>60000</v>
      </c>
      <c r="L48" s="40">
        <f t="shared" si="6"/>
        <v>60000</v>
      </c>
      <c r="M48" s="40">
        <f t="shared" si="6"/>
        <v>60000</v>
      </c>
      <c r="N48" s="40">
        <f t="shared" si="6"/>
        <v>60000</v>
      </c>
      <c r="P48" s="24">
        <f>SUM(D48:N48)</f>
        <v>535000</v>
      </c>
    </row>
    <row r="49" spans="1:16" x14ac:dyDescent="0.25">
      <c r="A49" s="1" t="s">
        <v>42</v>
      </c>
      <c r="B49" s="1"/>
      <c r="D49" s="40">
        <f>+D15*D20</f>
        <v>0</v>
      </c>
      <c r="E49" s="40">
        <f t="shared" ref="E49:N49" si="7">+E15*E20</f>
        <v>90000</v>
      </c>
      <c r="F49" s="40">
        <f t="shared" si="7"/>
        <v>180000</v>
      </c>
      <c r="G49" s="40">
        <f t="shared" si="7"/>
        <v>270000</v>
      </c>
      <c r="H49" s="40">
        <f t="shared" si="7"/>
        <v>324000</v>
      </c>
      <c r="I49" s="40">
        <f t="shared" si="7"/>
        <v>324000</v>
      </c>
      <c r="J49" s="40">
        <f t="shared" si="7"/>
        <v>324000</v>
      </c>
      <c r="K49" s="40">
        <f t="shared" si="7"/>
        <v>324000</v>
      </c>
      <c r="L49" s="40">
        <f t="shared" si="7"/>
        <v>324000</v>
      </c>
      <c r="M49" s="40">
        <f t="shared" si="7"/>
        <v>324000</v>
      </c>
      <c r="N49" s="40">
        <f t="shared" si="7"/>
        <v>324000</v>
      </c>
      <c r="P49" s="24">
        <f>SUM(D49:N49)</f>
        <v>2808000</v>
      </c>
    </row>
    <row r="51" spans="1:16" s="8" customFormat="1" x14ac:dyDescent="0.25">
      <c r="A51" s="7" t="s">
        <v>43</v>
      </c>
      <c r="B51" s="7"/>
      <c r="D51" s="21">
        <f>SUM(D48:D49)</f>
        <v>0</v>
      </c>
      <c r="E51" s="21">
        <f t="shared" ref="E51:N51" si="8">SUM(E48:E49)</f>
        <v>115000</v>
      </c>
      <c r="F51" s="21">
        <f t="shared" si="8"/>
        <v>220000</v>
      </c>
      <c r="G51" s="21">
        <f t="shared" si="8"/>
        <v>320000</v>
      </c>
      <c r="H51" s="21">
        <f t="shared" si="8"/>
        <v>384000</v>
      </c>
      <c r="I51" s="21">
        <f t="shared" si="8"/>
        <v>384000</v>
      </c>
      <c r="J51" s="21">
        <f t="shared" si="8"/>
        <v>384000</v>
      </c>
      <c r="K51" s="21">
        <f t="shared" si="8"/>
        <v>384000</v>
      </c>
      <c r="L51" s="21">
        <f t="shared" si="8"/>
        <v>384000</v>
      </c>
      <c r="M51" s="21">
        <f t="shared" si="8"/>
        <v>384000</v>
      </c>
      <c r="N51" s="21">
        <f t="shared" si="8"/>
        <v>384000</v>
      </c>
      <c r="O51" s="22"/>
      <c r="P51" s="21">
        <f>SUM(P48:P49)</f>
        <v>3343000</v>
      </c>
    </row>
    <row r="52" spans="1:16" x14ac:dyDescent="0.25"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6" x14ac:dyDescent="0.25">
      <c r="A53" s="3" t="s">
        <v>14</v>
      </c>
      <c r="B53" s="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1:16" x14ac:dyDescent="0.25">
      <c r="A54" s="3" t="s">
        <v>15</v>
      </c>
      <c r="B54" s="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</row>
    <row r="55" spans="1:16" x14ac:dyDescent="0.25">
      <c r="A55" s="3" t="s">
        <v>18</v>
      </c>
      <c r="B55" s="3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3"/>
      <c r="P55" s="48"/>
    </row>
    <row r="56" spans="1:16" x14ac:dyDescent="0.25">
      <c r="A56" s="3" t="s">
        <v>16</v>
      </c>
      <c r="B56" s="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3"/>
      <c r="P56" s="24"/>
    </row>
    <row r="57" spans="1:16" x14ac:dyDescent="0.25">
      <c r="A57" s="5" t="str">
        <f>+A28</f>
        <v>Senior Lecturer</v>
      </c>
      <c r="B57" s="5"/>
      <c r="D57" s="46">
        <f>VLOOKUP($A57,Workings!$C$13:$O$19,3,0)*D28</f>
        <v>18750</v>
      </c>
      <c r="E57" s="46">
        <f>VLOOKUP($A57,Workings!$C$13:$O$19,4,0)*E28</f>
        <v>19218.75</v>
      </c>
      <c r="F57" s="46">
        <f>VLOOKUP($A57,Workings!$C$13:$O$19,5,0)*F28</f>
        <v>7879.6875</v>
      </c>
      <c r="G57" s="46">
        <f>VLOOKUP($A57,Workings!$C$13:$O$19,6,0)*G28</f>
        <v>8076.6796875</v>
      </c>
      <c r="H57" s="46">
        <f>VLOOKUP($A57,Workings!$C$13:$O$19,7,0)*H28</f>
        <v>8278.5966796875</v>
      </c>
      <c r="I57" s="46">
        <f>VLOOKUP($A57,Workings!$C$13:$O$19,8,0)*I28</f>
        <v>8485.5615966796868</v>
      </c>
      <c r="J57" s="46">
        <f>VLOOKUP($A57,Workings!$C$13:$O$19,9,0)*J28</f>
        <v>8697.700636596679</v>
      </c>
      <c r="K57" s="46">
        <f>VLOOKUP($A57,Workings!$C$13:$O$19,10,0)*K28</f>
        <v>8915.143152511595</v>
      </c>
      <c r="L57" s="46">
        <f>VLOOKUP($A57,Workings!$C$13:$O$19,11,0)*L28</f>
        <v>9138.0217313243829</v>
      </c>
      <c r="M57" s="46">
        <f>VLOOKUP($A57,Workings!$C$13:$O$19,12,0)*M28</f>
        <v>9366.4722746074931</v>
      </c>
      <c r="N57" s="46">
        <f>VLOOKUP($A57,Workings!$C$13:$O$19,13,0)*N28</f>
        <v>9600.6340814726791</v>
      </c>
      <c r="O57" s="23"/>
      <c r="P57" s="24">
        <f t="shared" ref="P57:P58" si="9">SUM(D57:N57)</f>
        <v>116407.24734038001</v>
      </c>
    </row>
    <row r="58" spans="1:16" x14ac:dyDescent="0.25">
      <c r="A58" s="5" t="str">
        <f>+A29</f>
        <v>Lecturer Grade 7</v>
      </c>
      <c r="B58" s="5"/>
      <c r="D58" s="46">
        <f>VLOOKUP($A58,Workings!$C$13:$O$19,3,0)*D29</f>
        <v>27500</v>
      </c>
      <c r="E58" s="46">
        <f>VLOOKUP($A58,Workings!$C$13:$O$19,4,0)*E29</f>
        <v>28187.499999999996</v>
      </c>
      <c r="F58" s="46">
        <f>VLOOKUP($A58,Workings!$C$13:$O$19,5,0)*F29</f>
        <v>0</v>
      </c>
      <c r="G58" s="46">
        <f>VLOOKUP($A58,Workings!$C$13:$O$19,6,0)*G29</f>
        <v>0</v>
      </c>
      <c r="H58" s="46">
        <f>VLOOKUP($A58,Workings!$C$13:$O$19,7,0)*H29</f>
        <v>0</v>
      </c>
      <c r="I58" s="46">
        <f>VLOOKUP($A58,Workings!$C$13:$O$19,8,0)*I29</f>
        <v>0</v>
      </c>
      <c r="J58" s="46">
        <f>VLOOKUP($A58,Workings!$C$13:$O$19,9,0)*J29</f>
        <v>0</v>
      </c>
      <c r="K58" s="46">
        <f>VLOOKUP($A58,Workings!$C$13:$O$19,10,0)*K29</f>
        <v>0</v>
      </c>
      <c r="L58" s="46">
        <f>VLOOKUP($A58,Workings!$C$13:$O$19,11,0)*L29</f>
        <v>0</v>
      </c>
      <c r="M58" s="46">
        <f>VLOOKUP($A58,Workings!$C$13:$O$19,12,0)*M29</f>
        <v>0</v>
      </c>
      <c r="N58" s="46">
        <f>VLOOKUP($A58,Workings!$C$13:$O$19,13,0)*N29</f>
        <v>0</v>
      </c>
      <c r="O58" s="23"/>
      <c r="P58" s="24">
        <f t="shared" si="9"/>
        <v>55687.5</v>
      </c>
    </row>
    <row r="59" spans="1:16" s="8" customFormat="1" x14ac:dyDescent="0.25">
      <c r="A59" s="7" t="s">
        <v>86</v>
      </c>
      <c r="B59" s="7"/>
      <c r="D59" s="21">
        <f>SUM(D57:D58)</f>
        <v>46250</v>
      </c>
      <c r="E59" s="21">
        <f t="shared" ref="E59:P59" si="10">SUM(E57:E58)</f>
        <v>47406.25</v>
      </c>
      <c r="F59" s="21">
        <f t="shared" si="10"/>
        <v>7879.6875</v>
      </c>
      <c r="G59" s="21">
        <f t="shared" si="10"/>
        <v>8076.6796875</v>
      </c>
      <c r="H59" s="21">
        <f t="shared" si="10"/>
        <v>8278.5966796875</v>
      </c>
      <c r="I59" s="21">
        <f t="shared" si="10"/>
        <v>8485.5615966796868</v>
      </c>
      <c r="J59" s="21">
        <f t="shared" si="10"/>
        <v>8697.700636596679</v>
      </c>
      <c r="K59" s="21">
        <f t="shared" si="10"/>
        <v>8915.143152511595</v>
      </c>
      <c r="L59" s="21">
        <f t="shared" si="10"/>
        <v>9138.0217313243829</v>
      </c>
      <c r="M59" s="21">
        <f t="shared" si="10"/>
        <v>9366.4722746074931</v>
      </c>
      <c r="N59" s="21">
        <f t="shared" si="10"/>
        <v>9600.6340814726791</v>
      </c>
      <c r="O59" s="22"/>
      <c r="P59" s="21">
        <f t="shared" si="10"/>
        <v>172094.74734038001</v>
      </c>
    </row>
    <row r="60" spans="1:16" x14ac:dyDescent="0.25">
      <c r="A60" s="50"/>
      <c r="B60" s="50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3"/>
      <c r="P60" s="49"/>
    </row>
    <row r="61" spans="1:16" x14ac:dyDescent="0.25">
      <c r="A61" s="5" t="s">
        <v>19</v>
      </c>
      <c r="B61" s="5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3"/>
      <c r="P61" s="48"/>
    </row>
    <row r="62" spans="1:16" x14ac:dyDescent="0.25">
      <c r="A62" s="5" t="str">
        <f>+A32</f>
        <v>Lecturer Grade 7</v>
      </c>
      <c r="B62" s="5"/>
      <c r="D62" s="46">
        <f>VLOOKUP($A62,Workings!$C$13:$O$19,3,0)*D32</f>
        <v>27500</v>
      </c>
      <c r="E62" s="46">
        <f>VLOOKUP($A62,Workings!$C$13:$O$19,4,0)*E32</f>
        <v>28187.499999999996</v>
      </c>
      <c r="F62" s="46">
        <f>VLOOKUP($A62,Workings!$C$13:$O$19,5,0)*F32</f>
        <v>57784.374999999985</v>
      </c>
      <c r="G62" s="46">
        <f>VLOOKUP($A62,Workings!$C$13:$O$19,6,0)*G32</f>
        <v>59228.984374999978</v>
      </c>
      <c r="H62" s="46">
        <f>VLOOKUP($A62,Workings!$C$13:$O$19,7,0)*H32</f>
        <v>60709.708984374971</v>
      </c>
      <c r="I62" s="46">
        <f>VLOOKUP($A62,Workings!$C$13:$O$19,8,0)*I32</f>
        <v>62227.451708984343</v>
      </c>
      <c r="J62" s="46">
        <f>VLOOKUP($A62,Workings!$C$13:$O$19,9,0)*J32</f>
        <v>63783.138001708947</v>
      </c>
      <c r="K62" s="46">
        <f>VLOOKUP($A62,Workings!$C$13:$O$19,10,0)*K32</f>
        <v>65377.716451751665</v>
      </c>
      <c r="L62" s="46">
        <f>VLOOKUP($A62,Workings!$C$13:$O$19,11,0)*L32</f>
        <v>67012.159363045444</v>
      </c>
      <c r="M62" s="46">
        <f>VLOOKUP($A62,Workings!$C$13:$O$19,12,0)*M32</f>
        <v>68687.463347121578</v>
      </c>
      <c r="N62" s="46">
        <f>VLOOKUP($A62,Workings!$C$13:$O$19,13,0)*N32</f>
        <v>70404.649930799613</v>
      </c>
      <c r="O62" s="23"/>
      <c r="P62" s="24">
        <f t="shared" ref="P62:P63" si="11">SUM(D62:N62)</f>
        <v>630903.14716278657</v>
      </c>
    </row>
    <row r="63" spans="1:16" x14ac:dyDescent="0.25">
      <c r="A63" s="5" t="str">
        <f>+A33</f>
        <v>Lecturer Grade 7</v>
      </c>
      <c r="B63" s="5"/>
      <c r="D63" s="46">
        <f>VLOOKUP($A63,Workings!$C$13:$O$19,3,0)*D33</f>
        <v>0</v>
      </c>
      <c r="E63" s="46">
        <f>VLOOKUP($A63,Workings!$C$13:$O$19,4,0)*E33</f>
        <v>0</v>
      </c>
      <c r="F63" s="46">
        <f>VLOOKUP($A63,Workings!$C$13:$O$19,5,0)*F33</f>
        <v>0</v>
      </c>
      <c r="G63" s="46">
        <f>VLOOKUP($A63,Workings!$C$13:$O$19,6,0)*G33</f>
        <v>0</v>
      </c>
      <c r="H63" s="46">
        <f>VLOOKUP($A63,Workings!$C$13:$O$19,7,0)*H33</f>
        <v>0</v>
      </c>
      <c r="I63" s="46">
        <f>VLOOKUP($A63,Workings!$C$13:$O$19,8,0)*I33</f>
        <v>0</v>
      </c>
      <c r="J63" s="46">
        <f>VLOOKUP($A63,Workings!$C$13:$O$19,9,0)*J33</f>
        <v>0</v>
      </c>
      <c r="K63" s="46">
        <f>VLOOKUP($A63,Workings!$C$13:$O$19,10,0)*K33</f>
        <v>0</v>
      </c>
      <c r="L63" s="46">
        <f>VLOOKUP($A63,Workings!$C$13:$O$19,11,0)*L33</f>
        <v>0</v>
      </c>
      <c r="M63" s="46">
        <f>VLOOKUP($A63,Workings!$C$13:$O$19,12,0)*M33</f>
        <v>0</v>
      </c>
      <c r="N63" s="46">
        <f>VLOOKUP($A63,Workings!$C$13:$O$19,13,0)*N33</f>
        <v>0</v>
      </c>
      <c r="O63" s="23"/>
      <c r="P63" s="24">
        <f t="shared" si="11"/>
        <v>0</v>
      </c>
    </row>
    <row r="64" spans="1:16" s="8" customFormat="1" x14ac:dyDescent="0.25">
      <c r="A64" s="7" t="s">
        <v>20</v>
      </c>
      <c r="B64" s="7"/>
      <c r="D64" s="21">
        <f>SUM(D62:D63)</f>
        <v>27500</v>
      </c>
      <c r="E64" s="21">
        <f t="shared" ref="E64:P64" si="12">SUM(E62:E63)</f>
        <v>28187.499999999996</v>
      </c>
      <c r="F64" s="21">
        <f t="shared" si="12"/>
        <v>57784.374999999985</v>
      </c>
      <c r="G64" s="21">
        <f t="shared" si="12"/>
        <v>59228.984374999978</v>
      </c>
      <c r="H64" s="21">
        <f t="shared" si="12"/>
        <v>60709.708984374971</v>
      </c>
      <c r="I64" s="21">
        <f t="shared" si="12"/>
        <v>62227.451708984343</v>
      </c>
      <c r="J64" s="21">
        <f t="shared" si="12"/>
        <v>63783.138001708947</v>
      </c>
      <c r="K64" s="21">
        <f t="shared" si="12"/>
        <v>65377.716451751665</v>
      </c>
      <c r="L64" s="21">
        <f t="shared" si="12"/>
        <v>67012.159363045444</v>
      </c>
      <c r="M64" s="21">
        <f t="shared" si="12"/>
        <v>68687.463347121578</v>
      </c>
      <c r="N64" s="21">
        <f t="shared" si="12"/>
        <v>70404.649930799613</v>
      </c>
      <c r="O64" s="22"/>
      <c r="P64" s="21">
        <f t="shared" si="12"/>
        <v>630903.14716278657</v>
      </c>
    </row>
    <row r="65" spans="1:17" x14ac:dyDescent="0.25">
      <c r="A65" s="51"/>
      <c r="B65" s="51"/>
      <c r="C65" s="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43"/>
      <c r="P65" s="52"/>
    </row>
    <row r="66" spans="1:17" s="8" customFormat="1" x14ac:dyDescent="0.25">
      <c r="A66" s="7" t="s">
        <v>21</v>
      </c>
      <c r="B66" s="7"/>
      <c r="D66" s="21">
        <f>+D64+D59</f>
        <v>73750</v>
      </c>
      <c r="E66" s="21">
        <f t="shared" ref="E66:N66" si="13">+E64+E59</f>
        <v>75593.75</v>
      </c>
      <c r="F66" s="21">
        <f t="shared" si="13"/>
        <v>65664.062499999985</v>
      </c>
      <c r="G66" s="21">
        <f t="shared" si="13"/>
        <v>67305.664062499971</v>
      </c>
      <c r="H66" s="21">
        <f t="shared" si="13"/>
        <v>68988.305664062471</v>
      </c>
      <c r="I66" s="21">
        <f t="shared" si="13"/>
        <v>70713.013305664033</v>
      </c>
      <c r="J66" s="21">
        <f t="shared" si="13"/>
        <v>72480.83863830562</v>
      </c>
      <c r="K66" s="21">
        <f t="shared" si="13"/>
        <v>74292.859604263256</v>
      </c>
      <c r="L66" s="21">
        <f t="shared" si="13"/>
        <v>76150.181094369822</v>
      </c>
      <c r="M66" s="21">
        <f t="shared" si="13"/>
        <v>78053.935621729077</v>
      </c>
      <c r="N66" s="21">
        <f t="shared" si="13"/>
        <v>80005.284012272285</v>
      </c>
      <c r="O66" s="22"/>
      <c r="P66" s="21">
        <f t="shared" ref="P66" si="14">+P64+P59</f>
        <v>802997.89450316655</v>
      </c>
    </row>
    <row r="67" spans="1:17" x14ac:dyDescent="0.25">
      <c r="A67" s="51"/>
      <c r="B67" s="51"/>
      <c r="C67" s="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43"/>
      <c r="P67" s="52"/>
    </row>
    <row r="68" spans="1:17" x14ac:dyDescent="0.25">
      <c r="A68" s="7" t="s">
        <v>31</v>
      </c>
      <c r="B68" s="6" t="str">
        <f>+B40</f>
        <v>Grade 8</v>
      </c>
      <c r="D68" s="47">
        <f>VLOOKUP($B$68,Workings!$C$21:$E$28,3,0)*D40</f>
        <v>32500</v>
      </c>
      <c r="E68" s="47">
        <f>VLOOKUP($B$68,Workings!$C$21:$E$28,3,0)*E40</f>
        <v>32500</v>
      </c>
      <c r="F68" s="47">
        <f>VLOOKUP($B$68,Workings!$C$21:$E$28,3,0)*F40</f>
        <v>32500</v>
      </c>
      <c r="G68" s="47">
        <f>VLOOKUP($B$68,Workings!$C$21:$E$28,3,0)*G40</f>
        <v>32500</v>
      </c>
      <c r="H68" s="47">
        <f>VLOOKUP($B$68,Workings!$C$21:$E$28,3,0)*H40</f>
        <v>32500</v>
      </c>
      <c r="I68" s="47">
        <f>VLOOKUP($B$68,Workings!$C$21:$E$28,3,0)*I40</f>
        <v>32500</v>
      </c>
      <c r="J68" s="47">
        <f>VLOOKUP($B$68,Workings!$C$21:$E$28,3,0)*J40</f>
        <v>32500</v>
      </c>
      <c r="K68" s="47">
        <f>VLOOKUP($B$68,Workings!$C$21:$E$28,3,0)*K40</f>
        <v>32500</v>
      </c>
      <c r="L68" s="47">
        <f>VLOOKUP($B$68,Workings!$C$21:$E$28,3,0)*L40</f>
        <v>32500</v>
      </c>
      <c r="M68" s="47">
        <f>VLOOKUP($B$68,Workings!$C$21:$E$28,3,0)*M40</f>
        <v>32500</v>
      </c>
      <c r="N68" s="47">
        <f>VLOOKUP($B$68,Workings!$C$21:$E$28,3,0)*N40</f>
        <v>32500</v>
      </c>
      <c r="O68" s="23"/>
      <c r="P68" s="33">
        <f t="shared" ref="P68" si="15">SUM(D68:N68)</f>
        <v>357500</v>
      </c>
    </row>
    <row r="69" spans="1:17" x14ac:dyDescent="0.25">
      <c r="A69" s="51"/>
      <c r="B69" s="51"/>
      <c r="C69" s="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43"/>
      <c r="P69" s="52"/>
    </row>
    <row r="70" spans="1:17" s="8" customFormat="1" x14ac:dyDescent="0.25">
      <c r="A70" s="7" t="s">
        <v>32</v>
      </c>
      <c r="B70" s="7"/>
      <c r="D70" s="34">
        <f>+D68+D66</f>
        <v>106250</v>
      </c>
      <c r="E70" s="34">
        <f t="shared" ref="E70:N70" si="16">+E68+E66</f>
        <v>108093.75</v>
      </c>
      <c r="F70" s="34">
        <f t="shared" si="16"/>
        <v>98164.062499999985</v>
      </c>
      <c r="G70" s="34">
        <f t="shared" si="16"/>
        <v>99805.664062499971</v>
      </c>
      <c r="H70" s="34">
        <f t="shared" si="16"/>
        <v>101488.30566406247</v>
      </c>
      <c r="I70" s="34">
        <f t="shared" si="16"/>
        <v>103213.01330566403</v>
      </c>
      <c r="J70" s="34">
        <f t="shared" si="16"/>
        <v>104980.83863830562</v>
      </c>
      <c r="K70" s="34">
        <f t="shared" si="16"/>
        <v>106792.85960426326</v>
      </c>
      <c r="L70" s="34">
        <f t="shared" si="16"/>
        <v>108650.18109436982</v>
      </c>
      <c r="M70" s="34">
        <f t="shared" si="16"/>
        <v>110553.93562172908</v>
      </c>
      <c r="N70" s="34">
        <f t="shared" si="16"/>
        <v>112505.28401227228</v>
      </c>
      <c r="O70" s="22"/>
      <c r="P70" s="34">
        <f>+P68+P66</f>
        <v>1160497.8945031664</v>
      </c>
    </row>
    <row r="71" spans="1:17" x14ac:dyDescent="0.25">
      <c r="A71" s="51"/>
      <c r="B71" s="53"/>
      <c r="C71" s="2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3"/>
      <c r="P71" s="49"/>
      <c r="Q71" s="2"/>
    </row>
    <row r="72" spans="1:17" s="8" customFormat="1" x14ac:dyDescent="0.25">
      <c r="A72" s="3" t="s">
        <v>33</v>
      </c>
      <c r="B72" s="4"/>
      <c r="C72" s="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</row>
    <row r="73" spans="1:17" x14ac:dyDescent="0.25">
      <c r="A73" s="1" t="s">
        <v>81</v>
      </c>
      <c r="B73" s="55"/>
      <c r="C73" s="2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3"/>
      <c r="P73" s="48"/>
    </row>
    <row r="74" spans="1:17" x14ac:dyDescent="0.25">
      <c r="A74" s="9" t="s">
        <v>82</v>
      </c>
      <c r="B74" s="9"/>
      <c r="D74" s="31">
        <v>10000</v>
      </c>
      <c r="E74" s="31">
        <v>10000</v>
      </c>
      <c r="F74" s="31">
        <v>10000</v>
      </c>
      <c r="G74" s="31">
        <v>10000</v>
      </c>
      <c r="H74" s="31">
        <v>10000</v>
      </c>
      <c r="I74" s="31">
        <v>10000</v>
      </c>
      <c r="J74" s="31">
        <v>10000</v>
      </c>
      <c r="K74" s="31">
        <v>10000</v>
      </c>
      <c r="L74" s="31">
        <v>10000</v>
      </c>
      <c r="M74" s="31">
        <v>10000</v>
      </c>
      <c r="N74" s="31">
        <v>10000</v>
      </c>
      <c r="O74" s="23"/>
      <c r="P74" s="24">
        <f t="shared" ref="P74:P82" si="17">SUM(D74:N74)</f>
        <v>110000</v>
      </c>
    </row>
    <row r="75" spans="1:17" x14ac:dyDescent="0.25">
      <c r="A75" s="9" t="s">
        <v>83</v>
      </c>
      <c r="B75" s="9"/>
      <c r="D75" s="31">
        <v>2000</v>
      </c>
      <c r="E75" s="31">
        <v>2000</v>
      </c>
      <c r="F75" s="31">
        <v>2000</v>
      </c>
      <c r="G75" s="31">
        <v>2000</v>
      </c>
      <c r="H75" s="31">
        <v>2000</v>
      </c>
      <c r="I75" s="31">
        <v>2000</v>
      </c>
      <c r="J75" s="31">
        <v>2000</v>
      </c>
      <c r="K75" s="31">
        <v>2000</v>
      </c>
      <c r="L75" s="31">
        <v>2000</v>
      </c>
      <c r="M75" s="31">
        <v>2000</v>
      </c>
      <c r="N75" s="31">
        <v>2000</v>
      </c>
      <c r="O75" s="23"/>
      <c r="P75" s="24">
        <f t="shared" si="17"/>
        <v>22000</v>
      </c>
    </row>
    <row r="76" spans="1:17" x14ac:dyDescent="0.25">
      <c r="A76" s="9" t="s">
        <v>84</v>
      </c>
      <c r="B76" s="9"/>
      <c r="D76" s="31">
        <v>6000</v>
      </c>
      <c r="E76" s="31">
        <v>6000</v>
      </c>
      <c r="F76" s="31">
        <v>6000</v>
      </c>
      <c r="G76" s="31">
        <v>6000</v>
      </c>
      <c r="H76" s="31">
        <v>6000</v>
      </c>
      <c r="I76" s="31">
        <v>6000</v>
      </c>
      <c r="J76" s="31">
        <v>6000</v>
      </c>
      <c r="K76" s="31">
        <v>6000</v>
      </c>
      <c r="L76" s="31">
        <v>6000</v>
      </c>
      <c r="M76" s="31">
        <v>6000</v>
      </c>
      <c r="N76" s="31">
        <v>6000</v>
      </c>
      <c r="O76" s="23"/>
      <c r="P76" s="24">
        <f t="shared" si="17"/>
        <v>66000</v>
      </c>
    </row>
    <row r="77" spans="1:17" x14ac:dyDescent="0.25">
      <c r="A77" s="9" t="s">
        <v>34</v>
      </c>
      <c r="B77" s="9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23"/>
      <c r="P77" s="24">
        <f t="shared" si="17"/>
        <v>0</v>
      </c>
    </row>
    <row r="78" spans="1:17" x14ac:dyDescent="0.25">
      <c r="A78" s="9" t="s">
        <v>34</v>
      </c>
      <c r="B78" s="9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23"/>
      <c r="P78" s="24">
        <f t="shared" si="17"/>
        <v>0</v>
      </c>
    </row>
    <row r="79" spans="1:17" x14ac:dyDescent="0.25">
      <c r="A79" s="9" t="s">
        <v>34</v>
      </c>
      <c r="B79" s="9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23"/>
      <c r="P79" s="24">
        <f t="shared" si="17"/>
        <v>0</v>
      </c>
    </row>
    <row r="80" spans="1:17" x14ac:dyDescent="0.25">
      <c r="A80" s="9" t="s">
        <v>34</v>
      </c>
      <c r="B80" s="9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23"/>
      <c r="P80" s="24">
        <f t="shared" si="17"/>
        <v>0</v>
      </c>
    </row>
    <row r="81" spans="1:16" x14ac:dyDescent="0.25">
      <c r="A81" s="9" t="s">
        <v>34</v>
      </c>
      <c r="B81" s="9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23"/>
      <c r="P81" s="24">
        <f t="shared" si="17"/>
        <v>0</v>
      </c>
    </row>
    <row r="82" spans="1:16" x14ac:dyDescent="0.25">
      <c r="A82" s="9" t="s">
        <v>34</v>
      </c>
      <c r="B82" s="9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23"/>
      <c r="P82" s="24">
        <f t="shared" si="17"/>
        <v>0</v>
      </c>
    </row>
    <row r="83" spans="1:16" x14ac:dyDescent="0.25">
      <c r="A83" s="51"/>
      <c r="B83" s="51"/>
      <c r="C83" s="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43"/>
      <c r="P83" s="52"/>
    </row>
    <row r="84" spans="1:16" s="8" customFormat="1" x14ac:dyDescent="0.25">
      <c r="A84" s="7" t="s">
        <v>35</v>
      </c>
      <c r="B84" s="7"/>
      <c r="D84" s="21">
        <f>SUM(D74:D82)</f>
        <v>18000</v>
      </c>
      <c r="E84" s="21">
        <f t="shared" ref="E84:P84" si="18">SUM(E74:E82)</f>
        <v>18000</v>
      </c>
      <c r="F84" s="21">
        <f t="shared" si="18"/>
        <v>18000</v>
      </c>
      <c r="G84" s="21">
        <f t="shared" si="18"/>
        <v>18000</v>
      </c>
      <c r="H84" s="21">
        <f t="shared" si="18"/>
        <v>18000</v>
      </c>
      <c r="I84" s="21">
        <f t="shared" si="18"/>
        <v>18000</v>
      </c>
      <c r="J84" s="21">
        <f t="shared" si="18"/>
        <v>18000</v>
      </c>
      <c r="K84" s="21">
        <f t="shared" si="18"/>
        <v>18000</v>
      </c>
      <c r="L84" s="21">
        <f t="shared" si="18"/>
        <v>18000</v>
      </c>
      <c r="M84" s="21">
        <f t="shared" si="18"/>
        <v>18000</v>
      </c>
      <c r="N84" s="21">
        <f t="shared" si="18"/>
        <v>18000</v>
      </c>
      <c r="O84" s="22"/>
      <c r="P84" s="21">
        <f t="shared" si="18"/>
        <v>198000</v>
      </c>
    </row>
    <row r="85" spans="1:16" x14ac:dyDescent="0.25">
      <c r="A85" s="51"/>
      <c r="B85" s="51"/>
      <c r="C85" s="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43"/>
      <c r="P85" s="52"/>
    </row>
    <row r="86" spans="1:16" s="8" customFormat="1" x14ac:dyDescent="0.25">
      <c r="A86" s="35" t="s">
        <v>36</v>
      </c>
      <c r="B86" s="35"/>
      <c r="D86" s="56">
        <f t="shared" ref="D86:N86" si="19">+D51-D70-D84</f>
        <v>-124250</v>
      </c>
      <c r="E86" s="56">
        <f t="shared" si="19"/>
        <v>-11093.75</v>
      </c>
      <c r="F86" s="56">
        <f t="shared" si="19"/>
        <v>103835.93750000001</v>
      </c>
      <c r="G86" s="56">
        <f t="shared" si="19"/>
        <v>202194.33593750003</v>
      </c>
      <c r="H86" s="56">
        <f t="shared" si="19"/>
        <v>264511.6943359375</v>
      </c>
      <c r="I86" s="56">
        <f t="shared" si="19"/>
        <v>262786.98669433594</v>
      </c>
      <c r="J86" s="56">
        <f t="shared" si="19"/>
        <v>261019.16136169439</v>
      </c>
      <c r="K86" s="56">
        <f t="shared" si="19"/>
        <v>259207.14039573673</v>
      </c>
      <c r="L86" s="56">
        <f t="shared" si="19"/>
        <v>257349.81890563015</v>
      </c>
      <c r="M86" s="56">
        <f t="shared" si="19"/>
        <v>255446.06437827094</v>
      </c>
      <c r="N86" s="56">
        <f t="shared" si="19"/>
        <v>253494.71598772774</v>
      </c>
      <c r="O86" s="57"/>
      <c r="P86" s="56">
        <f>+P51-P70-P84</f>
        <v>1984502.1054968336</v>
      </c>
    </row>
    <row r="87" spans="1:16" x14ac:dyDescent="0.25">
      <c r="A87" s="51"/>
      <c r="B87" s="51"/>
      <c r="C87" s="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43"/>
      <c r="P87" s="52"/>
    </row>
    <row r="88" spans="1:16" s="8" customFormat="1" x14ac:dyDescent="0.25">
      <c r="A88" s="35" t="s">
        <v>37</v>
      </c>
      <c r="B88" s="35"/>
      <c r="D88" s="58" t="str">
        <f t="shared" ref="D88:N88" si="20">IFERROR(+D86/D51,"-")</f>
        <v>-</v>
      </c>
      <c r="E88" s="58">
        <f t="shared" si="20"/>
        <v>-9.6467391304347824E-2</v>
      </c>
      <c r="F88" s="58">
        <f t="shared" si="20"/>
        <v>0.47198153409090915</v>
      </c>
      <c r="G88" s="58">
        <f t="shared" si="20"/>
        <v>0.63185729980468763</v>
      </c>
      <c r="H88" s="58">
        <f t="shared" si="20"/>
        <v>0.68883253733317062</v>
      </c>
      <c r="I88" s="58">
        <f t="shared" si="20"/>
        <v>0.68434111118316654</v>
      </c>
      <c r="J88" s="58">
        <f t="shared" si="20"/>
        <v>0.67973739937941247</v>
      </c>
      <c r="K88" s="58">
        <f t="shared" si="20"/>
        <v>0.67501859478056436</v>
      </c>
      <c r="L88" s="58">
        <f t="shared" si="20"/>
        <v>0.6701818200667452</v>
      </c>
      <c r="M88" s="58">
        <f t="shared" si="20"/>
        <v>0.66522412598508052</v>
      </c>
      <c r="N88" s="58">
        <f t="shared" si="20"/>
        <v>0.66014248955137433</v>
      </c>
      <c r="O88" s="59"/>
      <c r="P88" s="60">
        <f>IFERROR(+P86/P51,"-")</f>
        <v>0.59362910723805973</v>
      </c>
    </row>
    <row r="89" spans="1:16" x14ac:dyDescent="0.25">
      <c r="A89" s="51"/>
      <c r="B89" s="51"/>
      <c r="C89" s="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43"/>
      <c r="P89" s="52"/>
    </row>
    <row r="90" spans="1:16" x14ac:dyDescent="0.25">
      <c r="A90" s="6" t="s">
        <v>40</v>
      </c>
      <c r="B90" s="6" t="str">
        <f>B7</f>
        <v>Classroom</v>
      </c>
      <c r="D90" s="71">
        <f>VLOOKUP($B90,Workings!$C$2:$O$28,2,FALSE)*D21</f>
        <v>0</v>
      </c>
      <c r="E90" s="71">
        <f>VLOOKUP($B90,Workings!$C$2:$O$28,3,FALSE)*E21</f>
        <v>25625</v>
      </c>
      <c r="F90" s="71">
        <f>VLOOKUP($B90,Workings!$C$2:$O$28,4,FALSE)*F21</f>
        <v>47278.124999999993</v>
      </c>
      <c r="G90" s="71">
        <f>VLOOKUP($B90,Workings!$C$2:$O$28,5,FALSE)*G21</f>
        <v>67305.664062499971</v>
      </c>
      <c r="H90" s="71">
        <f>VLOOKUP($B90,Workings!$C$2:$O$28,6,FALSE)*H21</f>
        <v>82785.966796874956</v>
      </c>
      <c r="I90" s="71">
        <f>VLOOKUP($B90,Workings!$C$2:$O$28,7,FALSE)*I21</f>
        <v>84855.615966796831</v>
      </c>
      <c r="J90" s="71">
        <f>VLOOKUP($B90,Workings!$C$2:$O$28,8,FALSE)*J21</f>
        <v>86977.00636596675</v>
      </c>
      <c r="K90" s="71">
        <f>VLOOKUP($B90,Workings!$C$2:$O$28,9,FALSE)*K21</f>
        <v>89151.431525115899</v>
      </c>
      <c r="L90" s="71">
        <f>VLOOKUP($B90,Workings!$C$2:$O$28,10,FALSE)*L21</f>
        <v>91380.217313243789</v>
      </c>
      <c r="M90" s="71">
        <f>VLOOKUP($B90,Workings!$C$2:$O$28,11,FALSE)*M21</f>
        <v>93664.722746074884</v>
      </c>
      <c r="N90" s="71">
        <f>VLOOKUP($B90,Workings!$C$2:$O$28,12,FALSE)*N21</f>
        <v>96006.340814726747</v>
      </c>
      <c r="O90" s="23"/>
      <c r="P90" s="33">
        <f t="shared" ref="P90" si="21">SUM(D90:N90)</f>
        <v>765030.09059129993</v>
      </c>
    </row>
    <row r="91" spans="1:16" x14ac:dyDescent="0.25">
      <c r="A91" s="51"/>
      <c r="B91" s="51"/>
      <c r="C91" s="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43"/>
      <c r="P91" s="52"/>
    </row>
    <row r="92" spans="1:16" s="8" customFormat="1" x14ac:dyDescent="0.25">
      <c r="A92" s="35" t="s">
        <v>38</v>
      </c>
      <c r="B92" s="35"/>
      <c r="D92" s="56">
        <f>+D86-D90</f>
        <v>-124250</v>
      </c>
      <c r="E92" s="56">
        <f t="shared" ref="E92:N92" si="22">+E86-E90</f>
        <v>-36718.75</v>
      </c>
      <c r="F92" s="56">
        <f t="shared" si="22"/>
        <v>56557.812500000022</v>
      </c>
      <c r="G92" s="56">
        <f t="shared" si="22"/>
        <v>134888.67187500006</v>
      </c>
      <c r="H92" s="56">
        <f t="shared" si="22"/>
        <v>181725.72753906256</v>
      </c>
      <c r="I92" s="56">
        <f t="shared" si="22"/>
        <v>177931.37072753912</v>
      </c>
      <c r="J92" s="56">
        <f t="shared" si="22"/>
        <v>174042.15499572764</v>
      </c>
      <c r="K92" s="56">
        <f t="shared" si="22"/>
        <v>170055.70887062082</v>
      </c>
      <c r="L92" s="56">
        <f t="shared" si="22"/>
        <v>165969.60159238637</v>
      </c>
      <c r="M92" s="56">
        <f t="shared" si="22"/>
        <v>161781.34163219604</v>
      </c>
      <c r="N92" s="56">
        <f t="shared" si="22"/>
        <v>157488.375173001</v>
      </c>
      <c r="O92" s="57"/>
      <c r="P92" s="56">
        <f>+P86-P90</f>
        <v>1219472.0149055338</v>
      </c>
    </row>
    <row r="93" spans="1:16" x14ac:dyDescent="0.25">
      <c r="A93" s="51"/>
      <c r="B93" s="51"/>
      <c r="C93" s="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43"/>
      <c r="P93" s="52"/>
    </row>
    <row r="94" spans="1:16" s="8" customFormat="1" x14ac:dyDescent="0.25">
      <c r="A94" s="35" t="s">
        <v>39</v>
      </c>
      <c r="B94" s="35"/>
      <c r="D94" s="61" t="str">
        <f t="shared" ref="D94:N94" si="23">IFERROR(D92/D51,"-")</f>
        <v>-</v>
      </c>
      <c r="E94" s="61">
        <f t="shared" si="23"/>
        <v>-0.31929347826086957</v>
      </c>
      <c r="F94" s="61">
        <f t="shared" si="23"/>
        <v>0.25708096590909102</v>
      </c>
      <c r="G94" s="61">
        <f t="shared" si="23"/>
        <v>0.42152709960937518</v>
      </c>
      <c r="H94" s="61">
        <f t="shared" si="23"/>
        <v>0.47324408213297542</v>
      </c>
      <c r="I94" s="61">
        <f t="shared" si="23"/>
        <v>0.46336294460296645</v>
      </c>
      <c r="J94" s="61">
        <f t="shared" si="23"/>
        <v>0.4532347786347074</v>
      </c>
      <c r="K94" s="61">
        <f t="shared" si="23"/>
        <v>0.4428534085172417</v>
      </c>
      <c r="L94" s="61">
        <f t="shared" si="23"/>
        <v>0.43221250414683954</v>
      </c>
      <c r="M94" s="61">
        <f t="shared" si="23"/>
        <v>0.4213055771671772</v>
      </c>
      <c r="N94" s="61">
        <f t="shared" si="23"/>
        <v>0.41012597701302345</v>
      </c>
      <c r="O94" s="59"/>
      <c r="P94" s="61">
        <f>IFERROR(P92/P51,"-")</f>
        <v>0.36478373164987549</v>
      </c>
    </row>
    <row r="95" spans="1:16" x14ac:dyDescent="0.25">
      <c r="A95" s="1"/>
      <c r="B95" s="1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3"/>
      <c r="P95" s="24"/>
    </row>
  </sheetData>
  <mergeCells count="1">
    <mergeCell ref="A2:P3"/>
  </mergeCells>
  <pageMargins left="0.25" right="0.25" top="0.75" bottom="0.75" header="0.3" footer="0.3"/>
  <pageSetup paperSize="8" scale="53" orientation="portrait" r:id="rId1"/>
  <rowBreaks count="1" manualBreakCount="1">
    <brk id="4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Workings!$C$9:$C$11</xm:f>
          </x14:formula1>
          <xm:sqref>B7</xm:sqref>
        </x14:dataValidation>
        <x14:dataValidation type="list" allowBlank="1" showInputMessage="1" showErrorMessage="1">
          <x14:formula1>
            <xm:f>Workings!$C$5:$C$7</xm:f>
          </x14:formula1>
          <xm:sqref>B8</xm:sqref>
        </x14:dataValidation>
        <x14:dataValidation type="list" allowBlank="1" showInputMessage="1" showErrorMessage="1">
          <x14:formula1>
            <xm:f>Workings!$C$13:$C$19</xm:f>
          </x14:formula1>
          <xm:sqref>A28:A29 A32:A33</xm:sqref>
        </x14:dataValidation>
        <x14:dataValidation type="list" allowBlank="1" showInputMessage="1" showErrorMessage="1">
          <x14:formula1>
            <xm:f>Workings!$C$21:$C$28</xm:f>
          </x14:formula1>
          <xm:sqref>B40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95"/>
  <sheetViews>
    <sheetView topLeftCell="A52" zoomScale="75" zoomScaleNormal="75" workbookViewId="0">
      <selection activeCell="A99" sqref="A99"/>
    </sheetView>
  </sheetViews>
  <sheetFormatPr defaultRowHeight="15" x14ac:dyDescent="0.25"/>
  <cols>
    <col min="1" max="1" width="43" bestFit="1" customWidth="1"/>
    <col min="2" max="2" width="27.28515625" customWidth="1"/>
    <col min="3" max="3" width="4.42578125" customWidth="1"/>
    <col min="4" max="5" width="10" bestFit="1" customWidth="1"/>
    <col min="6" max="14" width="11.5703125" bestFit="1" customWidth="1"/>
    <col min="15" max="15" width="2.5703125" customWidth="1"/>
    <col min="16" max="16" width="12" style="23" customWidth="1"/>
  </cols>
  <sheetData>
    <row r="2" spans="1:16" ht="15" customHeight="1" x14ac:dyDescent="0.25">
      <c r="A2" s="62" t="str">
        <f>CONCATENATE(B6," Financial Plan")</f>
        <v>MSc in XXXX Financial Plan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4"/>
    </row>
    <row r="3" spans="1:16" ht="15.75" customHeight="1" x14ac:dyDescent="0.25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7"/>
    </row>
    <row r="5" spans="1:16" x14ac:dyDescent="0.25">
      <c r="A5" s="9" t="s">
        <v>22</v>
      </c>
    </row>
    <row r="6" spans="1:16" x14ac:dyDescent="0.25">
      <c r="A6" s="5" t="s">
        <v>49</v>
      </c>
      <c r="B6" s="38" t="s">
        <v>50</v>
      </c>
    </row>
    <row r="7" spans="1:16" x14ac:dyDescent="0.25">
      <c r="A7" s="5" t="s">
        <v>47</v>
      </c>
      <c r="B7" s="9" t="s">
        <v>61</v>
      </c>
    </row>
    <row r="8" spans="1:16" x14ac:dyDescent="0.25">
      <c r="A8" s="5" t="s">
        <v>48</v>
      </c>
      <c r="B8" s="9" t="s">
        <v>55</v>
      </c>
    </row>
    <row r="10" spans="1:16" s="14" customFormat="1" x14ac:dyDescent="0.25">
      <c r="D10" s="15" t="s">
        <v>0</v>
      </c>
      <c r="E10" s="15" t="s">
        <v>1</v>
      </c>
      <c r="F10" s="15" t="s">
        <v>2</v>
      </c>
      <c r="G10" s="15" t="s">
        <v>3</v>
      </c>
      <c r="H10" s="15" t="s">
        <v>4</v>
      </c>
      <c r="I10" s="15" t="s">
        <v>5</v>
      </c>
      <c r="J10" s="15" t="s">
        <v>6</v>
      </c>
      <c r="K10" s="15" t="s">
        <v>7</v>
      </c>
      <c r="L10" s="15" t="s">
        <v>8</v>
      </c>
      <c r="M10" s="15" t="s">
        <v>9</v>
      </c>
      <c r="N10" s="15" t="s">
        <v>10</v>
      </c>
      <c r="P10" s="42"/>
    </row>
    <row r="12" spans="1:16" x14ac:dyDescent="0.25">
      <c r="D12" s="15" t="s">
        <v>26</v>
      </c>
      <c r="E12" s="15" t="s">
        <v>26</v>
      </c>
      <c r="F12" s="15" t="s">
        <v>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  <c r="N12" s="15" t="s">
        <v>26</v>
      </c>
    </row>
    <row r="13" spans="1:16" x14ac:dyDescent="0.25">
      <c r="A13" s="3" t="s">
        <v>12</v>
      </c>
    </row>
    <row r="14" spans="1:16" x14ac:dyDescent="0.25">
      <c r="A14" s="1" t="s">
        <v>41</v>
      </c>
      <c r="B14" s="2"/>
      <c r="D14" s="18"/>
      <c r="E14" s="18">
        <v>5000</v>
      </c>
      <c r="F14" s="18">
        <v>5000</v>
      </c>
      <c r="G14" s="18">
        <v>5000</v>
      </c>
      <c r="H14" s="18">
        <v>5000</v>
      </c>
      <c r="I14" s="18">
        <v>5000</v>
      </c>
      <c r="J14" s="18">
        <v>5000</v>
      </c>
      <c r="K14" s="18">
        <v>5000</v>
      </c>
      <c r="L14" s="18">
        <v>5000</v>
      </c>
      <c r="M14" s="18">
        <v>5000</v>
      </c>
      <c r="N14" s="18">
        <v>5000</v>
      </c>
      <c r="P14" s="43"/>
    </row>
    <row r="15" spans="1:16" x14ac:dyDescent="0.25">
      <c r="A15" s="1" t="s">
        <v>42</v>
      </c>
      <c r="B15" s="2"/>
      <c r="D15" s="18"/>
      <c r="E15" s="18">
        <v>18000</v>
      </c>
      <c r="F15" s="18">
        <v>18000</v>
      </c>
      <c r="G15" s="18">
        <v>18000</v>
      </c>
      <c r="H15" s="18">
        <v>18000</v>
      </c>
      <c r="I15" s="18">
        <v>18000</v>
      </c>
      <c r="J15" s="18">
        <v>18000</v>
      </c>
      <c r="K15" s="18">
        <v>18000</v>
      </c>
      <c r="L15" s="18">
        <v>18000</v>
      </c>
      <c r="M15" s="18">
        <v>18000</v>
      </c>
      <c r="N15" s="18">
        <v>18000</v>
      </c>
      <c r="P15" s="43"/>
    </row>
    <row r="17" spans="1:16" x14ac:dyDescent="0.25">
      <c r="D17" s="15" t="s">
        <v>27</v>
      </c>
      <c r="E17" s="15" t="s">
        <v>27</v>
      </c>
      <c r="F17" s="15" t="s">
        <v>27</v>
      </c>
      <c r="G17" s="15" t="s">
        <v>27</v>
      </c>
      <c r="H17" s="15" t="s">
        <v>27</v>
      </c>
      <c r="I17" s="15" t="s">
        <v>27</v>
      </c>
      <c r="J17" s="15" t="s">
        <v>27</v>
      </c>
      <c r="K17" s="15" t="s">
        <v>27</v>
      </c>
      <c r="L17" s="15" t="s">
        <v>27</v>
      </c>
      <c r="M17" s="15" t="s">
        <v>27</v>
      </c>
      <c r="N17" s="15" t="s">
        <v>27</v>
      </c>
    </row>
    <row r="18" spans="1:16" x14ac:dyDescent="0.25">
      <c r="A18" s="3" t="s">
        <v>13</v>
      </c>
    </row>
    <row r="19" spans="1:16" x14ac:dyDescent="0.25">
      <c r="A19" s="1" t="s">
        <v>41</v>
      </c>
      <c r="B19" s="2"/>
      <c r="D19" s="31"/>
      <c r="E19" s="31">
        <v>5</v>
      </c>
      <c r="F19" s="31">
        <v>8</v>
      </c>
      <c r="G19" s="31">
        <v>10</v>
      </c>
      <c r="H19" s="31">
        <v>12</v>
      </c>
      <c r="I19" s="31">
        <v>12</v>
      </c>
      <c r="J19" s="31">
        <v>12</v>
      </c>
      <c r="K19" s="31">
        <v>12</v>
      </c>
      <c r="L19" s="31">
        <v>12</v>
      </c>
      <c r="M19" s="31">
        <v>12</v>
      </c>
      <c r="N19" s="31">
        <v>12</v>
      </c>
      <c r="P19" s="43"/>
    </row>
    <row r="20" spans="1:16" x14ac:dyDescent="0.25">
      <c r="A20" s="1" t="s">
        <v>42</v>
      </c>
      <c r="B20" s="2"/>
      <c r="D20" s="31"/>
      <c r="E20" s="31">
        <v>5</v>
      </c>
      <c r="F20" s="31">
        <v>10</v>
      </c>
      <c r="G20" s="31">
        <v>15</v>
      </c>
      <c r="H20" s="31">
        <v>18</v>
      </c>
      <c r="I20" s="31">
        <v>18</v>
      </c>
      <c r="J20" s="31">
        <v>18</v>
      </c>
      <c r="K20" s="31">
        <v>18</v>
      </c>
      <c r="L20" s="31">
        <v>18</v>
      </c>
      <c r="M20" s="31">
        <v>18</v>
      </c>
      <c r="N20" s="31">
        <v>18</v>
      </c>
      <c r="P20" s="43"/>
    </row>
    <row r="21" spans="1:16" x14ac:dyDescent="0.25">
      <c r="A21" s="5" t="s">
        <v>70</v>
      </c>
      <c r="D21" s="41">
        <f>SUM(D19:D20)</f>
        <v>0</v>
      </c>
      <c r="E21" s="41">
        <f t="shared" ref="E21:N21" si="0">SUM(E19:E20)</f>
        <v>10</v>
      </c>
      <c r="F21" s="41">
        <f t="shared" si="0"/>
        <v>18</v>
      </c>
      <c r="G21" s="41">
        <f t="shared" si="0"/>
        <v>25</v>
      </c>
      <c r="H21" s="41">
        <f t="shared" si="0"/>
        <v>30</v>
      </c>
      <c r="I21" s="41">
        <f t="shared" si="0"/>
        <v>30</v>
      </c>
      <c r="J21" s="41">
        <f t="shared" si="0"/>
        <v>30</v>
      </c>
      <c r="K21" s="41">
        <f t="shared" si="0"/>
        <v>30</v>
      </c>
      <c r="L21" s="41">
        <f t="shared" si="0"/>
        <v>30</v>
      </c>
      <c r="M21" s="41">
        <f t="shared" si="0"/>
        <v>30</v>
      </c>
      <c r="N21" s="41">
        <f t="shared" si="0"/>
        <v>30</v>
      </c>
    </row>
    <row r="22" spans="1:16" x14ac:dyDescent="0.25">
      <c r="B22" s="1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P22" s="43"/>
    </row>
    <row r="23" spans="1:16" x14ac:dyDescent="0.25">
      <c r="A23" s="3" t="s">
        <v>16</v>
      </c>
      <c r="B23" s="11" t="s">
        <v>24</v>
      </c>
      <c r="D23" s="15" t="s">
        <v>17</v>
      </c>
      <c r="E23" s="15" t="s">
        <v>17</v>
      </c>
      <c r="F23" s="15" t="s">
        <v>17</v>
      </c>
      <c r="G23" s="15" t="s">
        <v>17</v>
      </c>
      <c r="H23" s="15" t="s">
        <v>17</v>
      </c>
      <c r="I23" s="15" t="s">
        <v>17</v>
      </c>
      <c r="J23" s="15" t="s">
        <v>17</v>
      </c>
      <c r="K23" s="15" t="s">
        <v>17</v>
      </c>
      <c r="L23" s="15" t="s">
        <v>17</v>
      </c>
      <c r="M23" s="15" t="s">
        <v>17</v>
      </c>
      <c r="N23" s="15" t="s">
        <v>17</v>
      </c>
      <c r="P23" s="43"/>
    </row>
    <row r="24" spans="1:16" x14ac:dyDescent="0.25">
      <c r="A24" s="25"/>
      <c r="B24" s="2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P24" s="43"/>
    </row>
    <row r="25" spans="1:16" x14ac:dyDescent="0.25">
      <c r="A25" s="29" t="s">
        <v>71</v>
      </c>
      <c r="B25" s="30"/>
      <c r="D25" s="32">
        <f>+D21/18</f>
        <v>0</v>
      </c>
      <c r="E25" s="32">
        <f t="shared" ref="E25:N25" si="1">+E21/18</f>
        <v>0.55555555555555558</v>
      </c>
      <c r="F25" s="32">
        <f t="shared" si="1"/>
        <v>1</v>
      </c>
      <c r="G25" s="32">
        <f t="shared" si="1"/>
        <v>1.3888888888888888</v>
      </c>
      <c r="H25" s="32">
        <f t="shared" si="1"/>
        <v>1.6666666666666667</v>
      </c>
      <c r="I25" s="32">
        <f t="shared" si="1"/>
        <v>1.6666666666666667</v>
      </c>
      <c r="J25" s="32">
        <f t="shared" si="1"/>
        <v>1.6666666666666667</v>
      </c>
      <c r="K25" s="32">
        <f t="shared" si="1"/>
        <v>1.6666666666666667</v>
      </c>
      <c r="L25" s="32">
        <f t="shared" si="1"/>
        <v>1.6666666666666667</v>
      </c>
      <c r="M25" s="32">
        <f t="shared" si="1"/>
        <v>1.6666666666666667</v>
      </c>
      <c r="N25" s="32">
        <f t="shared" si="1"/>
        <v>1.6666666666666667</v>
      </c>
      <c r="P25" s="43"/>
    </row>
    <row r="26" spans="1:16" x14ac:dyDescent="0.25">
      <c r="A26" s="27"/>
      <c r="B26" s="28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P26" s="43"/>
    </row>
    <row r="27" spans="1:16" x14ac:dyDescent="0.25">
      <c r="A27" s="3" t="s">
        <v>18</v>
      </c>
      <c r="B27" s="17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P27" s="43"/>
    </row>
    <row r="28" spans="1:16" x14ac:dyDescent="0.25">
      <c r="A28" s="9" t="s">
        <v>67</v>
      </c>
      <c r="B28" s="39">
        <f>VLOOKUP(A28,Workings!$C$13:$E$19,3,0)</f>
        <v>75000</v>
      </c>
      <c r="D28" s="19">
        <v>0.25</v>
      </c>
      <c r="E28" s="19">
        <v>0.25</v>
      </c>
      <c r="F28" s="19">
        <v>0.1</v>
      </c>
      <c r="G28" s="19">
        <v>0.1</v>
      </c>
      <c r="H28" s="19">
        <v>0.1</v>
      </c>
      <c r="I28" s="19">
        <v>0.1</v>
      </c>
      <c r="J28" s="19">
        <v>0.1</v>
      </c>
      <c r="K28" s="19">
        <v>0.1</v>
      </c>
      <c r="L28" s="19">
        <v>0.1</v>
      </c>
      <c r="M28" s="19">
        <v>0.1</v>
      </c>
      <c r="N28" s="19">
        <v>0.1</v>
      </c>
      <c r="P28" s="43"/>
    </row>
    <row r="29" spans="1:16" x14ac:dyDescent="0.25">
      <c r="A29" s="9" t="s">
        <v>69</v>
      </c>
      <c r="B29" s="39">
        <f>VLOOKUP(A29,Workings!$C$13:$E$19,3,0)</f>
        <v>55000</v>
      </c>
      <c r="D29" s="19">
        <v>0.5</v>
      </c>
      <c r="E29" s="19">
        <v>0.5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P29" s="43"/>
    </row>
    <row r="30" spans="1:16" x14ac:dyDescent="0.25">
      <c r="A30" s="1" t="s">
        <v>23</v>
      </c>
      <c r="B30" s="5"/>
      <c r="D30" s="20">
        <f>SUM(D28:D29)</f>
        <v>0.75</v>
      </c>
      <c r="E30" s="20">
        <f t="shared" ref="E30" si="2">SUM(E28:E29)</f>
        <v>0.75</v>
      </c>
      <c r="F30" s="20">
        <f>SUM(F28:F29)</f>
        <v>0.1</v>
      </c>
      <c r="G30" s="20">
        <f t="shared" ref="G30:N30" si="3">SUM(G28:G29)</f>
        <v>0.1</v>
      </c>
      <c r="H30" s="20">
        <f t="shared" si="3"/>
        <v>0.1</v>
      </c>
      <c r="I30" s="20">
        <f t="shared" si="3"/>
        <v>0.1</v>
      </c>
      <c r="J30" s="20">
        <f t="shared" si="3"/>
        <v>0.1</v>
      </c>
      <c r="K30" s="20">
        <f t="shared" si="3"/>
        <v>0.1</v>
      </c>
      <c r="L30" s="20">
        <f t="shared" si="3"/>
        <v>0.1</v>
      </c>
      <c r="M30" s="20">
        <f t="shared" si="3"/>
        <v>0.1</v>
      </c>
      <c r="N30" s="20">
        <f t="shared" si="3"/>
        <v>0.1</v>
      </c>
      <c r="P30" s="43"/>
    </row>
    <row r="31" spans="1:16" x14ac:dyDescent="0.25">
      <c r="A31" s="3" t="s">
        <v>25</v>
      </c>
      <c r="B31" s="10"/>
    </row>
    <row r="32" spans="1:16" x14ac:dyDescent="0.25">
      <c r="A32" s="9" t="s">
        <v>69</v>
      </c>
      <c r="B32" s="39">
        <f>VLOOKUP(A32,Workings!$C$13:$E$19,3,0)</f>
        <v>55000</v>
      </c>
      <c r="D32" s="19">
        <v>0.5</v>
      </c>
      <c r="E32" s="19">
        <v>0.5</v>
      </c>
      <c r="F32" s="19">
        <v>1</v>
      </c>
      <c r="G32" s="19">
        <v>1</v>
      </c>
      <c r="H32" s="19">
        <v>1</v>
      </c>
      <c r="I32" s="19">
        <v>1</v>
      </c>
      <c r="J32" s="19">
        <v>1</v>
      </c>
      <c r="K32" s="19">
        <v>1</v>
      </c>
      <c r="L32" s="19">
        <v>1</v>
      </c>
      <c r="M32" s="19">
        <v>1</v>
      </c>
      <c r="N32" s="19">
        <v>1</v>
      </c>
      <c r="P32" s="43"/>
    </row>
    <row r="33" spans="1:16" x14ac:dyDescent="0.25">
      <c r="A33" s="9" t="s">
        <v>69</v>
      </c>
      <c r="B33" s="39">
        <f>VLOOKUP(A33,Workings!$C$13:$E$19,3,0)</f>
        <v>55000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P33" s="43"/>
    </row>
    <row r="34" spans="1:16" x14ac:dyDescent="0.25">
      <c r="A34" s="6" t="s">
        <v>45</v>
      </c>
      <c r="B34" s="6"/>
      <c r="D34" s="20">
        <f>SUM(D32:D33)</f>
        <v>0.5</v>
      </c>
      <c r="E34" s="20">
        <f t="shared" ref="E34:N34" si="4">SUM(E32:E33)</f>
        <v>0.5</v>
      </c>
      <c r="F34" s="20">
        <f t="shared" si="4"/>
        <v>1</v>
      </c>
      <c r="G34" s="20">
        <f>SUM(G32:G33)</f>
        <v>1</v>
      </c>
      <c r="H34" s="20">
        <f t="shared" si="4"/>
        <v>1</v>
      </c>
      <c r="I34" s="20">
        <f t="shared" si="4"/>
        <v>1</v>
      </c>
      <c r="J34" s="20">
        <f t="shared" si="4"/>
        <v>1</v>
      </c>
      <c r="K34" s="20">
        <f t="shared" si="4"/>
        <v>1</v>
      </c>
      <c r="L34" s="20">
        <f t="shared" si="4"/>
        <v>1</v>
      </c>
      <c r="M34" s="20">
        <f t="shared" si="4"/>
        <v>1</v>
      </c>
      <c r="N34" s="20">
        <f t="shared" si="4"/>
        <v>1</v>
      </c>
      <c r="P34" s="43"/>
    </row>
    <row r="35" spans="1:16" s="36" customFormat="1" x14ac:dyDescent="0.25">
      <c r="A35" s="13"/>
      <c r="B35" s="13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P35" s="44"/>
    </row>
    <row r="36" spans="1:16" s="36" customFormat="1" x14ac:dyDescent="0.25">
      <c r="A36" s="6" t="s">
        <v>46</v>
      </c>
      <c r="B36" s="6"/>
      <c r="D36" s="20">
        <f>+D34+D30</f>
        <v>1.25</v>
      </c>
      <c r="E36" s="20">
        <f t="shared" ref="E36:N36" si="5">+E34+E30</f>
        <v>1.25</v>
      </c>
      <c r="F36" s="20">
        <f>+F34+F30</f>
        <v>1.1000000000000001</v>
      </c>
      <c r="G36" s="20">
        <f>+G34+G30</f>
        <v>1.1000000000000001</v>
      </c>
      <c r="H36" s="20">
        <f t="shared" si="5"/>
        <v>1.1000000000000001</v>
      </c>
      <c r="I36" s="20">
        <f t="shared" si="5"/>
        <v>1.1000000000000001</v>
      </c>
      <c r="J36" s="20">
        <f t="shared" si="5"/>
        <v>1.1000000000000001</v>
      </c>
      <c r="K36" s="20">
        <f t="shared" si="5"/>
        <v>1.1000000000000001</v>
      </c>
      <c r="L36" s="20">
        <f t="shared" si="5"/>
        <v>1.1000000000000001</v>
      </c>
      <c r="M36" s="20">
        <f t="shared" si="5"/>
        <v>1.1000000000000001</v>
      </c>
      <c r="N36" s="20">
        <f t="shared" si="5"/>
        <v>1.1000000000000001</v>
      </c>
      <c r="P36" s="44"/>
    </row>
    <row r="38" spans="1:16" x14ac:dyDescent="0.25">
      <c r="A38" s="3" t="s">
        <v>28</v>
      </c>
      <c r="B38" s="1"/>
    </row>
    <row r="39" spans="1:16" x14ac:dyDescent="0.25">
      <c r="A39" s="29" t="s">
        <v>30</v>
      </c>
      <c r="B39" s="1" t="s">
        <v>29</v>
      </c>
    </row>
    <row r="40" spans="1:16" ht="18" customHeight="1" x14ac:dyDescent="0.25">
      <c r="A40" s="9" t="s">
        <v>80</v>
      </c>
      <c r="B40" s="9" t="s">
        <v>72</v>
      </c>
      <c r="D40" s="19">
        <v>0.5</v>
      </c>
      <c r="E40" s="19">
        <v>0.5</v>
      </c>
      <c r="F40" s="19">
        <v>0.5</v>
      </c>
      <c r="G40" s="19">
        <v>0.5</v>
      </c>
      <c r="H40" s="19">
        <v>0.5</v>
      </c>
      <c r="I40" s="19">
        <v>0.5</v>
      </c>
      <c r="J40" s="19">
        <v>0.5</v>
      </c>
      <c r="K40" s="19">
        <v>0.5</v>
      </c>
      <c r="L40" s="19">
        <v>0.5</v>
      </c>
      <c r="M40" s="19">
        <v>0.5</v>
      </c>
      <c r="N40" s="19">
        <v>0.5</v>
      </c>
      <c r="P40" s="43"/>
    </row>
    <row r="43" spans="1:16" s="14" customFormat="1" x14ac:dyDescent="0.25">
      <c r="D43" s="15" t="s">
        <v>0</v>
      </c>
      <c r="E43" s="15" t="s">
        <v>1</v>
      </c>
      <c r="F43" s="15" t="s">
        <v>2</v>
      </c>
      <c r="G43" s="15" t="s">
        <v>3</v>
      </c>
      <c r="H43" s="15" t="s">
        <v>4</v>
      </c>
      <c r="I43" s="15" t="s">
        <v>5</v>
      </c>
      <c r="J43" s="15" t="s">
        <v>6</v>
      </c>
      <c r="K43" s="15" t="s">
        <v>7</v>
      </c>
      <c r="L43" s="15" t="s">
        <v>8</v>
      </c>
      <c r="M43" s="15" t="s">
        <v>9</v>
      </c>
      <c r="N43" s="15" t="s">
        <v>10</v>
      </c>
      <c r="P43" s="45" t="s">
        <v>11</v>
      </c>
    </row>
    <row r="45" spans="1:16" x14ac:dyDescent="0.25">
      <c r="D45" s="15" t="s">
        <v>26</v>
      </c>
      <c r="E45" s="15" t="s">
        <v>26</v>
      </c>
      <c r="F45" s="15" t="s">
        <v>26</v>
      </c>
      <c r="G45" s="15" t="s">
        <v>26</v>
      </c>
      <c r="H45" s="15" t="s">
        <v>26</v>
      </c>
      <c r="I45" s="15" t="s">
        <v>26</v>
      </c>
      <c r="J45" s="15" t="s">
        <v>26</v>
      </c>
      <c r="K45" s="15" t="s">
        <v>26</v>
      </c>
      <c r="L45" s="15" t="s">
        <v>26</v>
      </c>
      <c r="M45" s="15" t="s">
        <v>26</v>
      </c>
      <c r="N45" s="15" t="s">
        <v>26</v>
      </c>
      <c r="P45" s="45" t="s">
        <v>26</v>
      </c>
    </row>
    <row r="47" spans="1:16" x14ac:dyDescent="0.25">
      <c r="A47" s="3" t="s">
        <v>44</v>
      </c>
    </row>
    <row r="48" spans="1:16" x14ac:dyDescent="0.25">
      <c r="A48" s="1" t="s">
        <v>41</v>
      </c>
      <c r="B48" s="1"/>
      <c r="D48" s="40">
        <f>+D14*D19</f>
        <v>0</v>
      </c>
      <c r="E48" s="40">
        <f t="shared" ref="E48:N49" si="6">+E14*E19</f>
        <v>25000</v>
      </c>
      <c r="F48" s="40">
        <f t="shared" si="6"/>
        <v>40000</v>
      </c>
      <c r="G48" s="40">
        <f t="shared" si="6"/>
        <v>50000</v>
      </c>
      <c r="H48" s="40">
        <f t="shared" si="6"/>
        <v>60000</v>
      </c>
      <c r="I48" s="40">
        <f t="shared" si="6"/>
        <v>60000</v>
      </c>
      <c r="J48" s="40">
        <f t="shared" si="6"/>
        <v>60000</v>
      </c>
      <c r="K48" s="40">
        <f t="shared" si="6"/>
        <v>60000</v>
      </c>
      <c r="L48" s="40">
        <f t="shared" si="6"/>
        <v>60000</v>
      </c>
      <c r="M48" s="40">
        <f t="shared" si="6"/>
        <v>60000</v>
      </c>
      <c r="N48" s="40">
        <f t="shared" si="6"/>
        <v>60000</v>
      </c>
      <c r="P48" s="24">
        <f>SUM(D48:N48)</f>
        <v>535000</v>
      </c>
    </row>
    <row r="49" spans="1:16" x14ac:dyDescent="0.25">
      <c r="A49" s="1" t="s">
        <v>42</v>
      </c>
      <c r="B49" s="1"/>
      <c r="D49" s="40">
        <f>+D15*D20</f>
        <v>0</v>
      </c>
      <c r="E49" s="40">
        <f t="shared" si="6"/>
        <v>90000</v>
      </c>
      <c r="F49" s="40">
        <f t="shared" si="6"/>
        <v>180000</v>
      </c>
      <c r="G49" s="40">
        <f t="shared" si="6"/>
        <v>270000</v>
      </c>
      <c r="H49" s="40">
        <f t="shared" si="6"/>
        <v>324000</v>
      </c>
      <c r="I49" s="40">
        <f t="shared" si="6"/>
        <v>324000</v>
      </c>
      <c r="J49" s="40">
        <f t="shared" si="6"/>
        <v>324000</v>
      </c>
      <c r="K49" s="40">
        <f t="shared" si="6"/>
        <v>324000</v>
      </c>
      <c r="L49" s="40">
        <f t="shared" si="6"/>
        <v>324000</v>
      </c>
      <c r="M49" s="40">
        <f t="shared" si="6"/>
        <v>324000</v>
      </c>
      <c r="N49" s="40">
        <f t="shared" si="6"/>
        <v>324000</v>
      </c>
      <c r="P49" s="24">
        <f>SUM(D49:N49)</f>
        <v>2808000</v>
      </c>
    </row>
    <row r="51" spans="1:16" s="8" customFormat="1" x14ac:dyDescent="0.25">
      <c r="A51" s="7" t="s">
        <v>43</v>
      </c>
      <c r="B51" s="7"/>
      <c r="D51" s="21">
        <f>SUM(D48:D49)</f>
        <v>0</v>
      </c>
      <c r="E51" s="21">
        <f t="shared" ref="E51:N51" si="7">SUM(E48:E49)</f>
        <v>115000</v>
      </c>
      <c r="F51" s="21">
        <f t="shared" si="7"/>
        <v>220000</v>
      </c>
      <c r="G51" s="21">
        <f t="shared" si="7"/>
        <v>320000</v>
      </c>
      <c r="H51" s="21">
        <f t="shared" si="7"/>
        <v>384000</v>
      </c>
      <c r="I51" s="21">
        <f t="shared" si="7"/>
        <v>384000</v>
      </c>
      <c r="J51" s="21">
        <f t="shared" si="7"/>
        <v>384000</v>
      </c>
      <c r="K51" s="21">
        <f t="shared" si="7"/>
        <v>384000</v>
      </c>
      <c r="L51" s="21">
        <f t="shared" si="7"/>
        <v>384000</v>
      </c>
      <c r="M51" s="21">
        <f t="shared" si="7"/>
        <v>384000</v>
      </c>
      <c r="N51" s="21">
        <f t="shared" si="7"/>
        <v>384000</v>
      </c>
      <c r="O51" s="22"/>
      <c r="P51" s="21">
        <f>SUM(P48:P49)</f>
        <v>3343000</v>
      </c>
    </row>
    <row r="52" spans="1:16" x14ac:dyDescent="0.25"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6" x14ac:dyDescent="0.25">
      <c r="A53" s="3" t="s">
        <v>14</v>
      </c>
      <c r="B53" s="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1:16" x14ac:dyDescent="0.25">
      <c r="A54" s="3" t="s">
        <v>15</v>
      </c>
      <c r="B54" s="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</row>
    <row r="55" spans="1:16" x14ac:dyDescent="0.25">
      <c r="A55" s="3" t="s">
        <v>18</v>
      </c>
      <c r="B55" s="3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3"/>
      <c r="P55" s="48"/>
    </row>
    <row r="56" spans="1:16" x14ac:dyDescent="0.25">
      <c r="A56" s="3" t="s">
        <v>16</v>
      </c>
      <c r="B56" s="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3"/>
      <c r="P56" s="24"/>
    </row>
    <row r="57" spans="1:16" x14ac:dyDescent="0.25">
      <c r="A57" s="5" t="str">
        <f>+A28</f>
        <v>Senior Lecturer</v>
      </c>
      <c r="B57" s="5"/>
      <c r="D57" s="46">
        <f>VLOOKUP($A57,Workings!$C$13:$O$19,3,0)*D28</f>
        <v>18750</v>
      </c>
      <c r="E57" s="46">
        <f>VLOOKUP($A57,Workings!$C$13:$O$19,4,0)*E28</f>
        <v>19218.75</v>
      </c>
      <c r="F57" s="46">
        <f>VLOOKUP($A57,Workings!$C$13:$O$19,5,0)*F28</f>
        <v>7879.6875</v>
      </c>
      <c r="G57" s="46">
        <f>VLOOKUP($A57,Workings!$C$13:$O$19,6,0)*G28</f>
        <v>8076.6796875</v>
      </c>
      <c r="H57" s="46">
        <f>VLOOKUP($A57,Workings!$C$13:$O$19,7,0)*H28</f>
        <v>8278.5966796875</v>
      </c>
      <c r="I57" s="46">
        <f>VLOOKUP($A57,Workings!$C$13:$O$19,8,0)*I28</f>
        <v>8485.5615966796868</v>
      </c>
      <c r="J57" s="46">
        <f>VLOOKUP($A57,Workings!$C$13:$O$19,9,0)*J28</f>
        <v>8697.700636596679</v>
      </c>
      <c r="K57" s="46">
        <f>VLOOKUP($A57,Workings!$C$13:$O$19,10,0)*K28</f>
        <v>8915.143152511595</v>
      </c>
      <c r="L57" s="46">
        <f>VLOOKUP($A57,Workings!$C$13:$O$19,11,0)*L28</f>
        <v>9138.0217313243829</v>
      </c>
      <c r="M57" s="46">
        <f>VLOOKUP($A57,Workings!$C$13:$O$19,12,0)*M28</f>
        <v>9366.4722746074931</v>
      </c>
      <c r="N57" s="46">
        <f>VLOOKUP($A57,Workings!$C$13:$O$19,13,0)*N28</f>
        <v>9600.6340814726791</v>
      </c>
      <c r="O57" s="23"/>
      <c r="P57" s="24">
        <f t="shared" ref="P57:P58" si="8">SUM(D57:N57)</f>
        <v>116407.24734038001</v>
      </c>
    </row>
    <row r="58" spans="1:16" x14ac:dyDescent="0.25">
      <c r="A58" s="5" t="str">
        <f>+A29</f>
        <v>Lecturer Grade 7</v>
      </c>
      <c r="B58" s="5"/>
      <c r="D58" s="46">
        <f>VLOOKUP($A58,Workings!$C$13:$O$19,3,0)*D29</f>
        <v>27500</v>
      </c>
      <c r="E58" s="46">
        <f>VLOOKUP($A58,Workings!$C$13:$O$19,4,0)*E29</f>
        <v>28187.499999999996</v>
      </c>
      <c r="F58" s="46">
        <f>VLOOKUP($A58,Workings!$C$13:$O$19,5,0)*F29</f>
        <v>0</v>
      </c>
      <c r="G58" s="46">
        <f>VLOOKUP($A58,Workings!$C$13:$O$19,6,0)*G29</f>
        <v>0</v>
      </c>
      <c r="H58" s="46">
        <f>VLOOKUP($A58,Workings!$C$13:$O$19,7,0)*H29</f>
        <v>0</v>
      </c>
      <c r="I58" s="46">
        <f>VLOOKUP($A58,Workings!$C$13:$O$19,8,0)*I29</f>
        <v>0</v>
      </c>
      <c r="J58" s="46">
        <f>VLOOKUP($A58,Workings!$C$13:$O$19,9,0)*J29</f>
        <v>0</v>
      </c>
      <c r="K58" s="46">
        <f>VLOOKUP($A58,Workings!$C$13:$O$19,10,0)*K29</f>
        <v>0</v>
      </c>
      <c r="L58" s="46">
        <f>VLOOKUP($A58,Workings!$C$13:$O$19,11,0)*L29</f>
        <v>0</v>
      </c>
      <c r="M58" s="46">
        <f>VLOOKUP($A58,Workings!$C$13:$O$19,12,0)*M29</f>
        <v>0</v>
      </c>
      <c r="N58" s="46">
        <f>VLOOKUP($A58,Workings!$C$13:$O$19,13,0)*N29</f>
        <v>0</v>
      </c>
      <c r="O58" s="23"/>
      <c r="P58" s="24">
        <f t="shared" si="8"/>
        <v>55687.5</v>
      </c>
    </row>
    <row r="59" spans="1:16" s="8" customFormat="1" x14ac:dyDescent="0.25">
      <c r="A59" s="7" t="s">
        <v>86</v>
      </c>
      <c r="B59" s="7"/>
      <c r="D59" s="21">
        <f>SUM(D57:D58)</f>
        <v>46250</v>
      </c>
      <c r="E59" s="21">
        <f t="shared" ref="E59:P59" si="9">SUM(E57:E58)</f>
        <v>47406.25</v>
      </c>
      <c r="F59" s="21">
        <f t="shared" si="9"/>
        <v>7879.6875</v>
      </c>
      <c r="G59" s="21">
        <f t="shared" si="9"/>
        <v>8076.6796875</v>
      </c>
      <c r="H59" s="21">
        <f t="shared" si="9"/>
        <v>8278.5966796875</v>
      </c>
      <c r="I59" s="21">
        <f t="shared" si="9"/>
        <v>8485.5615966796868</v>
      </c>
      <c r="J59" s="21">
        <f t="shared" si="9"/>
        <v>8697.700636596679</v>
      </c>
      <c r="K59" s="21">
        <f t="shared" si="9"/>
        <v>8915.143152511595</v>
      </c>
      <c r="L59" s="21">
        <f t="shared" si="9"/>
        <v>9138.0217313243829</v>
      </c>
      <c r="M59" s="21">
        <f t="shared" si="9"/>
        <v>9366.4722746074931</v>
      </c>
      <c r="N59" s="21">
        <f t="shared" si="9"/>
        <v>9600.6340814726791</v>
      </c>
      <c r="O59" s="22"/>
      <c r="P59" s="21">
        <f t="shared" si="9"/>
        <v>172094.74734038001</v>
      </c>
    </row>
    <row r="60" spans="1:16" x14ac:dyDescent="0.25">
      <c r="A60" s="50"/>
      <c r="B60" s="50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3"/>
      <c r="P60" s="49"/>
    </row>
    <row r="61" spans="1:16" x14ac:dyDescent="0.25">
      <c r="A61" s="5" t="s">
        <v>19</v>
      </c>
      <c r="B61" s="5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3"/>
      <c r="P61" s="48"/>
    </row>
    <row r="62" spans="1:16" x14ac:dyDescent="0.25">
      <c r="A62" s="5" t="str">
        <f>+A32</f>
        <v>Lecturer Grade 7</v>
      </c>
      <c r="B62" s="5"/>
      <c r="D62" s="46">
        <f>VLOOKUP($A62,Workings!$C$13:$O$19,3,0)*D32</f>
        <v>27500</v>
      </c>
      <c r="E62" s="46">
        <f>VLOOKUP($A62,Workings!$C$13:$O$19,4,0)*E32</f>
        <v>28187.499999999996</v>
      </c>
      <c r="F62" s="46">
        <f>VLOOKUP($A62,Workings!$C$13:$O$19,5,0)*F32</f>
        <v>57784.374999999985</v>
      </c>
      <c r="G62" s="46">
        <f>VLOOKUP($A62,Workings!$C$13:$O$19,6,0)*G32</f>
        <v>59228.984374999978</v>
      </c>
      <c r="H62" s="46">
        <f>VLOOKUP($A62,Workings!$C$13:$O$19,7,0)*H32</f>
        <v>60709.708984374971</v>
      </c>
      <c r="I62" s="46">
        <f>VLOOKUP($A62,Workings!$C$13:$O$19,8,0)*I32</f>
        <v>62227.451708984343</v>
      </c>
      <c r="J62" s="46">
        <f>VLOOKUP($A62,Workings!$C$13:$O$19,9,0)*J32</f>
        <v>63783.138001708947</v>
      </c>
      <c r="K62" s="46">
        <f>VLOOKUP($A62,Workings!$C$13:$O$19,10,0)*K32</f>
        <v>65377.716451751665</v>
      </c>
      <c r="L62" s="46">
        <f>VLOOKUP($A62,Workings!$C$13:$O$19,11,0)*L32</f>
        <v>67012.159363045444</v>
      </c>
      <c r="M62" s="46">
        <f>VLOOKUP($A62,Workings!$C$13:$O$19,12,0)*M32</f>
        <v>68687.463347121578</v>
      </c>
      <c r="N62" s="46">
        <f>VLOOKUP($A62,Workings!$C$13:$O$19,13,0)*N32</f>
        <v>70404.649930799613</v>
      </c>
      <c r="O62" s="23"/>
      <c r="P62" s="24">
        <f t="shared" ref="P62:P63" si="10">SUM(D62:N62)</f>
        <v>630903.14716278657</v>
      </c>
    </row>
    <row r="63" spans="1:16" x14ac:dyDescent="0.25">
      <c r="A63" s="5" t="str">
        <f>+A33</f>
        <v>Lecturer Grade 7</v>
      </c>
      <c r="B63" s="5"/>
      <c r="D63" s="46">
        <f>VLOOKUP($A63,Workings!$C$13:$O$19,3,0)*D33</f>
        <v>0</v>
      </c>
      <c r="E63" s="46">
        <f>VLOOKUP($A63,Workings!$C$13:$O$19,4,0)*E33</f>
        <v>0</v>
      </c>
      <c r="F63" s="46">
        <f>VLOOKUP($A63,Workings!$C$13:$O$19,5,0)*F33</f>
        <v>0</v>
      </c>
      <c r="G63" s="46">
        <f>VLOOKUP($A63,Workings!$C$13:$O$19,6,0)*G33</f>
        <v>0</v>
      </c>
      <c r="H63" s="46">
        <f>VLOOKUP($A63,Workings!$C$13:$O$19,7,0)*H33</f>
        <v>0</v>
      </c>
      <c r="I63" s="46">
        <f>VLOOKUP($A63,Workings!$C$13:$O$19,8,0)*I33</f>
        <v>0</v>
      </c>
      <c r="J63" s="46">
        <f>VLOOKUP($A63,Workings!$C$13:$O$19,9,0)*J33</f>
        <v>0</v>
      </c>
      <c r="K63" s="46">
        <f>VLOOKUP($A63,Workings!$C$13:$O$19,10,0)*K33</f>
        <v>0</v>
      </c>
      <c r="L63" s="46">
        <f>VLOOKUP($A63,Workings!$C$13:$O$19,11,0)*L33</f>
        <v>0</v>
      </c>
      <c r="M63" s="46">
        <f>VLOOKUP($A63,Workings!$C$13:$O$19,12,0)*M33</f>
        <v>0</v>
      </c>
      <c r="N63" s="46">
        <f>VLOOKUP($A63,Workings!$C$13:$O$19,13,0)*N33</f>
        <v>0</v>
      </c>
      <c r="O63" s="23"/>
      <c r="P63" s="24">
        <f t="shared" si="10"/>
        <v>0</v>
      </c>
    </row>
    <row r="64" spans="1:16" s="8" customFormat="1" x14ac:dyDescent="0.25">
      <c r="A64" s="7" t="s">
        <v>20</v>
      </c>
      <c r="B64" s="7"/>
      <c r="D64" s="21">
        <f>SUM(D62:D63)</f>
        <v>27500</v>
      </c>
      <c r="E64" s="21">
        <f t="shared" ref="E64:P64" si="11">SUM(E62:E63)</f>
        <v>28187.499999999996</v>
      </c>
      <c r="F64" s="21">
        <f t="shared" si="11"/>
        <v>57784.374999999985</v>
      </c>
      <c r="G64" s="21">
        <f t="shared" si="11"/>
        <v>59228.984374999978</v>
      </c>
      <c r="H64" s="21">
        <f t="shared" si="11"/>
        <v>60709.708984374971</v>
      </c>
      <c r="I64" s="21">
        <f t="shared" si="11"/>
        <v>62227.451708984343</v>
      </c>
      <c r="J64" s="21">
        <f t="shared" si="11"/>
        <v>63783.138001708947</v>
      </c>
      <c r="K64" s="21">
        <f t="shared" si="11"/>
        <v>65377.716451751665</v>
      </c>
      <c r="L64" s="21">
        <f t="shared" si="11"/>
        <v>67012.159363045444</v>
      </c>
      <c r="M64" s="21">
        <f t="shared" si="11"/>
        <v>68687.463347121578</v>
      </c>
      <c r="N64" s="21">
        <f t="shared" si="11"/>
        <v>70404.649930799613</v>
      </c>
      <c r="O64" s="22"/>
      <c r="P64" s="21">
        <f t="shared" si="11"/>
        <v>630903.14716278657</v>
      </c>
    </row>
    <row r="65" spans="1:17" x14ac:dyDescent="0.25">
      <c r="A65" s="51"/>
      <c r="B65" s="51"/>
      <c r="C65" s="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43"/>
      <c r="P65" s="52"/>
    </row>
    <row r="66" spans="1:17" s="8" customFormat="1" x14ac:dyDescent="0.25">
      <c r="A66" s="7" t="s">
        <v>21</v>
      </c>
      <c r="B66" s="7"/>
      <c r="D66" s="21">
        <f>+D64+D59</f>
        <v>73750</v>
      </c>
      <c r="E66" s="21">
        <f t="shared" ref="E66:N66" si="12">+E64+E59</f>
        <v>75593.75</v>
      </c>
      <c r="F66" s="21">
        <f t="shared" si="12"/>
        <v>65664.062499999985</v>
      </c>
      <c r="G66" s="21">
        <f t="shared" si="12"/>
        <v>67305.664062499971</v>
      </c>
      <c r="H66" s="21">
        <f t="shared" si="12"/>
        <v>68988.305664062471</v>
      </c>
      <c r="I66" s="21">
        <f t="shared" si="12"/>
        <v>70713.013305664033</v>
      </c>
      <c r="J66" s="21">
        <f t="shared" si="12"/>
        <v>72480.83863830562</v>
      </c>
      <c r="K66" s="21">
        <f t="shared" si="12"/>
        <v>74292.859604263256</v>
      </c>
      <c r="L66" s="21">
        <f t="shared" si="12"/>
        <v>76150.181094369822</v>
      </c>
      <c r="M66" s="21">
        <f t="shared" si="12"/>
        <v>78053.935621729077</v>
      </c>
      <c r="N66" s="21">
        <f t="shared" si="12"/>
        <v>80005.284012272285</v>
      </c>
      <c r="O66" s="22"/>
      <c r="P66" s="21">
        <f t="shared" ref="P66" si="13">+P64+P59</f>
        <v>802997.89450316655</v>
      </c>
    </row>
    <row r="67" spans="1:17" x14ac:dyDescent="0.25">
      <c r="A67" s="51"/>
      <c r="B67" s="51"/>
      <c r="C67" s="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43"/>
      <c r="P67" s="52"/>
    </row>
    <row r="68" spans="1:17" x14ac:dyDescent="0.25">
      <c r="A68" s="7" t="s">
        <v>31</v>
      </c>
      <c r="B68" s="6" t="str">
        <f>+B40</f>
        <v>Grade 8</v>
      </c>
      <c r="D68" s="47">
        <f>VLOOKUP($B$68,Workings!$C$21:$E$28,3,0)*D40</f>
        <v>32500</v>
      </c>
      <c r="E68" s="47">
        <f>VLOOKUP($B$68,Workings!$C$21:$E$28,3,0)*E40</f>
        <v>32500</v>
      </c>
      <c r="F68" s="47">
        <f>VLOOKUP($B$68,Workings!$C$21:$E$28,3,0)*F40</f>
        <v>32500</v>
      </c>
      <c r="G68" s="47">
        <f>VLOOKUP($B$68,Workings!$C$21:$E$28,3,0)*G40</f>
        <v>32500</v>
      </c>
      <c r="H68" s="47">
        <f>VLOOKUP($B$68,Workings!$C$21:$E$28,3,0)*H40</f>
        <v>32500</v>
      </c>
      <c r="I68" s="47">
        <f>VLOOKUP($B$68,Workings!$C$21:$E$28,3,0)*I40</f>
        <v>32500</v>
      </c>
      <c r="J68" s="47">
        <f>VLOOKUP($B$68,Workings!$C$21:$E$28,3,0)*J40</f>
        <v>32500</v>
      </c>
      <c r="K68" s="47">
        <f>VLOOKUP($B$68,Workings!$C$21:$E$28,3,0)*K40</f>
        <v>32500</v>
      </c>
      <c r="L68" s="47">
        <f>VLOOKUP($B$68,Workings!$C$21:$E$28,3,0)*L40</f>
        <v>32500</v>
      </c>
      <c r="M68" s="47">
        <f>VLOOKUP($B$68,Workings!$C$21:$E$28,3,0)*M40</f>
        <v>32500</v>
      </c>
      <c r="N68" s="47">
        <f>VLOOKUP($B$68,Workings!$C$21:$E$28,3,0)*N40</f>
        <v>32500</v>
      </c>
      <c r="O68" s="23"/>
      <c r="P68" s="33">
        <f t="shared" ref="P68" si="14">SUM(D68:N68)</f>
        <v>357500</v>
      </c>
    </row>
    <row r="69" spans="1:17" x14ac:dyDescent="0.25">
      <c r="A69" s="51"/>
      <c r="B69" s="51"/>
      <c r="C69" s="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43"/>
      <c r="P69" s="52"/>
    </row>
    <row r="70" spans="1:17" s="8" customFormat="1" x14ac:dyDescent="0.25">
      <c r="A70" s="7" t="s">
        <v>32</v>
      </c>
      <c r="B70" s="7"/>
      <c r="D70" s="34">
        <f>+D68+D66</f>
        <v>106250</v>
      </c>
      <c r="E70" s="34">
        <f t="shared" ref="E70:N70" si="15">+E68+E66</f>
        <v>108093.75</v>
      </c>
      <c r="F70" s="34">
        <f t="shared" si="15"/>
        <v>98164.062499999985</v>
      </c>
      <c r="G70" s="34">
        <f t="shared" si="15"/>
        <v>99805.664062499971</v>
      </c>
      <c r="H70" s="34">
        <f t="shared" si="15"/>
        <v>101488.30566406247</v>
      </c>
      <c r="I70" s="34">
        <f t="shared" si="15"/>
        <v>103213.01330566403</v>
      </c>
      <c r="J70" s="34">
        <f t="shared" si="15"/>
        <v>104980.83863830562</v>
      </c>
      <c r="K70" s="34">
        <f t="shared" si="15"/>
        <v>106792.85960426326</v>
      </c>
      <c r="L70" s="34">
        <f t="shared" si="15"/>
        <v>108650.18109436982</v>
      </c>
      <c r="M70" s="34">
        <f t="shared" si="15"/>
        <v>110553.93562172908</v>
      </c>
      <c r="N70" s="34">
        <f t="shared" si="15"/>
        <v>112505.28401227228</v>
      </c>
      <c r="O70" s="22"/>
      <c r="P70" s="34">
        <f>+P68+P66</f>
        <v>1160497.8945031664</v>
      </c>
    </row>
    <row r="71" spans="1:17" x14ac:dyDescent="0.25">
      <c r="A71" s="51"/>
      <c r="B71" s="53"/>
      <c r="C71" s="2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3"/>
      <c r="P71" s="49"/>
      <c r="Q71" s="2"/>
    </row>
    <row r="72" spans="1:17" s="8" customFormat="1" x14ac:dyDescent="0.25">
      <c r="A72" s="3" t="s">
        <v>33</v>
      </c>
      <c r="B72" s="4"/>
      <c r="C72" s="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</row>
    <row r="73" spans="1:17" x14ac:dyDescent="0.25">
      <c r="A73" s="1" t="s">
        <v>81</v>
      </c>
      <c r="B73" s="55"/>
      <c r="C73" s="2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3"/>
      <c r="P73" s="48"/>
    </row>
    <row r="74" spans="1:17" x14ac:dyDescent="0.25">
      <c r="A74" s="9" t="s">
        <v>82</v>
      </c>
      <c r="B74" s="9"/>
      <c r="D74" s="31">
        <v>10000</v>
      </c>
      <c r="E74" s="31">
        <v>10000</v>
      </c>
      <c r="F74" s="31">
        <v>10000</v>
      </c>
      <c r="G74" s="31">
        <v>10000</v>
      </c>
      <c r="H74" s="31">
        <v>10000</v>
      </c>
      <c r="I74" s="31">
        <v>10000</v>
      </c>
      <c r="J74" s="31">
        <v>10000</v>
      </c>
      <c r="K74" s="31">
        <v>10000</v>
      </c>
      <c r="L74" s="31">
        <v>10000</v>
      </c>
      <c r="M74" s="31">
        <v>10000</v>
      </c>
      <c r="N74" s="31">
        <v>10000</v>
      </c>
      <c r="O74" s="23"/>
      <c r="P74" s="24">
        <f t="shared" ref="P74:P82" si="16">SUM(D74:N74)</f>
        <v>110000</v>
      </c>
    </row>
    <row r="75" spans="1:17" x14ac:dyDescent="0.25">
      <c r="A75" s="9" t="s">
        <v>83</v>
      </c>
      <c r="B75" s="9"/>
      <c r="D75" s="31">
        <v>2000</v>
      </c>
      <c r="E75" s="31">
        <v>2000</v>
      </c>
      <c r="F75" s="31">
        <v>2000</v>
      </c>
      <c r="G75" s="31">
        <v>2000</v>
      </c>
      <c r="H75" s="31">
        <v>2000</v>
      </c>
      <c r="I75" s="31">
        <v>2000</v>
      </c>
      <c r="J75" s="31">
        <v>2000</v>
      </c>
      <c r="K75" s="31">
        <v>2000</v>
      </c>
      <c r="L75" s="31">
        <v>2000</v>
      </c>
      <c r="M75" s="31">
        <v>2000</v>
      </c>
      <c r="N75" s="31">
        <v>2000</v>
      </c>
      <c r="O75" s="23"/>
      <c r="P75" s="24">
        <f t="shared" si="16"/>
        <v>22000</v>
      </c>
    </row>
    <row r="76" spans="1:17" x14ac:dyDescent="0.25">
      <c r="A76" s="9" t="s">
        <v>84</v>
      </c>
      <c r="B76" s="9"/>
      <c r="D76" s="31">
        <v>6000</v>
      </c>
      <c r="E76" s="31">
        <v>6000</v>
      </c>
      <c r="F76" s="31">
        <v>6000</v>
      </c>
      <c r="G76" s="31">
        <v>6000</v>
      </c>
      <c r="H76" s="31">
        <v>6000</v>
      </c>
      <c r="I76" s="31">
        <v>6000</v>
      </c>
      <c r="J76" s="31">
        <v>6000</v>
      </c>
      <c r="K76" s="31">
        <v>6000</v>
      </c>
      <c r="L76" s="31">
        <v>6000</v>
      </c>
      <c r="M76" s="31">
        <v>6000</v>
      </c>
      <c r="N76" s="31">
        <v>6000</v>
      </c>
      <c r="O76" s="23"/>
      <c r="P76" s="24">
        <f t="shared" si="16"/>
        <v>66000</v>
      </c>
    </row>
    <row r="77" spans="1:17" x14ac:dyDescent="0.25">
      <c r="A77" s="9" t="s">
        <v>34</v>
      </c>
      <c r="B77" s="9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23"/>
      <c r="P77" s="24">
        <f t="shared" si="16"/>
        <v>0</v>
      </c>
    </row>
    <row r="78" spans="1:17" x14ac:dyDescent="0.25">
      <c r="A78" s="9" t="s">
        <v>34</v>
      </c>
      <c r="B78" s="9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23"/>
      <c r="P78" s="24">
        <f t="shared" si="16"/>
        <v>0</v>
      </c>
    </row>
    <row r="79" spans="1:17" x14ac:dyDescent="0.25">
      <c r="A79" s="9" t="s">
        <v>34</v>
      </c>
      <c r="B79" s="9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23"/>
      <c r="P79" s="24">
        <f t="shared" si="16"/>
        <v>0</v>
      </c>
    </row>
    <row r="80" spans="1:17" x14ac:dyDescent="0.25">
      <c r="A80" s="9" t="s">
        <v>34</v>
      </c>
      <c r="B80" s="9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23"/>
      <c r="P80" s="24">
        <f t="shared" si="16"/>
        <v>0</v>
      </c>
    </row>
    <row r="81" spans="1:16" x14ac:dyDescent="0.25">
      <c r="A81" s="9" t="s">
        <v>34</v>
      </c>
      <c r="B81" s="9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23"/>
      <c r="P81" s="24">
        <f t="shared" si="16"/>
        <v>0</v>
      </c>
    </row>
    <row r="82" spans="1:16" x14ac:dyDescent="0.25">
      <c r="A82" s="9" t="s">
        <v>34</v>
      </c>
      <c r="B82" s="9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23"/>
      <c r="P82" s="24">
        <f t="shared" si="16"/>
        <v>0</v>
      </c>
    </row>
    <row r="83" spans="1:16" x14ac:dyDescent="0.25">
      <c r="A83" s="51"/>
      <c r="B83" s="51"/>
      <c r="C83" s="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43"/>
      <c r="P83" s="52"/>
    </row>
    <row r="84" spans="1:16" s="8" customFormat="1" x14ac:dyDescent="0.25">
      <c r="A84" s="7" t="s">
        <v>35</v>
      </c>
      <c r="B84" s="7"/>
      <c r="D84" s="21">
        <f>SUM(D74:D82)</f>
        <v>18000</v>
      </c>
      <c r="E84" s="21">
        <f t="shared" ref="E84:P84" si="17">SUM(E74:E82)</f>
        <v>18000</v>
      </c>
      <c r="F84" s="21">
        <f t="shared" si="17"/>
        <v>18000</v>
      </c>
      <c r="G84" s="21">
        <f t="shared" si="17"/>
        <v>18000</v>
      </c>
      <c r="H84" s="21">
        <f t="shared" si="17"/>
        <v>18000</v>
      </c>
      <c r="I84" s="21">
        <f t="shared" si="17"/>
        <v>18000</v>
      </c>
      <c r="J84" s="21">
        <f t="shared" si="17"/>
        <v>18000</v>
      </c>
      <c r="K84" s="21">
        <f t="shared" si="17"/>
        <v>18000</v>
      </c>
      <c r="L84" s="21">
        <f t="shared" si="17"/>
        <v>18000</v>
      </c>
      <c r="M84" s="21">
        <f t="shared" si="17"/>
        <v>18000</v>
      </c>
      <c r="N84" s="21">
        <f t="shared" si="17"/>
        <v>18000</v>
      </c>
      <c r="O84" s="22"/>
      <c r="P84" s="21">
        <f t="shared" si="17"/>
        <v>198000</v>
      </c>
    </row>
    <row r="85" spans="1:16" x14ac:dyDescent="0.25">
      <c r="A85" s="51"/>
      <c r="B85" s="51"/>
      <c r="C85" s="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43"/>
      <c r="P85" s="52"/>
    </row>
    <row r="86" spans="1:16" s="8" customFormat="1" x14ac:dyDescent="0.25">
      <c r="A86" s="35" t="s">
        <v>36</v>
      </c>
      <c r="B86" s="35"/>
      <c r="D86" s="56">
        <f t="shared" ref="D86:N86" si="18">+D51-D70-D84</f>
        <v>-124250</v>
      </c>
      <c r="E86" s="56">
        <f t="shared" si="18"/>
        <v>-11093.75</v>
      </c>
      <c r="F86" s="56">
        <f t="shared" si="18"/>
        <v>103835.93750000001</v>
      </c>
      <c r="G86" s="56">
        <f t="shared" si="18"/>
        <v>202194.33593750003</v>
      </c>
      <c r="H86" s="56">
        <f t="shared" si="18"/>
        <v>264511.6943359375</v>
      </c>
      <c r="I86" s="56">
        <f t="shared" si="18"/>
        <v>262786.98669433594</v>
      </c>
      <c r="J86" s="56">
        <f t="shared" si="18"/>
        <v>261019.16136169439</v>
      </c>
      <c r="K86" s="56">
        <f t="shared" si="18"/>
        <v>259207.14039573673</v>
      </c>
      <c r="L86" s="56">
        <f t="shared" si="18"/>
        <v>257349.81890563015</v>
      </c>
      <c r="M86" s="56">
        <f t="shared" si="18"/>
        <v>255446.06437827094</v>
      </c>
      <c r="N86" s="56">
        <f t="shared" si="18"/>
        <v>253494.71598772774</v>
      </c>
      <c r="O86" s="57"/>
      <c r="P86" s="56">
        <f>+P51-P70-P84</f>
        <v>1984502.1054968336</v>
      </c>
    </row>
    <row r="87" spans="1:16" x14ac:dyDescent="0.25">
      <c r="A87" s="51"/>
      <c r="B87" s="51"/>
      <c r="C87" s="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43"/>
      <c r="P87" s="52"/>
    </row>
    <row r="88" spans="1:16" s="8" customFormat="1" x14ac:dyDescent="0.25">
      <c r="A88" s="35" t="s">
        <v>37</v>
      </c>
      <c r="B88" s="35"/>
      <c r="D88" s="58" t="str">
        <f t="shared" ref="D88:N88" si="19">IFERROR(+D86/D51,"-")</f>
        <v>-</v>
      </c>
      <c r="E88" s="58">
        <f t="shared" si="19"/>
        <v>-9.6467391304347824E-2</v>
      </c>
      <c r="F88" s="58">
        <f t="shared" si="19"/>
        <v>0.47198153409090915</v>
      </c>
      <c r="G88" s="58">
        <f t="shared" si="19"/>
        <v>0.63185729980468763</v>
      </c>
      <c r="H88" s="58">
        <f t="shared" si="19"/>
        <v>0.68883253733317062</v>
      </c>
      <c r="I88" s="58">
        <f t="shared" si="19"/>
        <v>0.68434111118316654</v>
      </c>
      <c r="J88" s="58">
        <f t="shared" si="19"/>
        <v>0.67973739937941247</v>
      </c>
      <c r="K88" s="58">
        <f t="shared" si="19"/>
        <v>0.67501859478056436</v>
      </c>
      <c r="L88" s="58">
        <f t="shared" si="19"/>
        <v>0.6701818200667452</v>
      </c>
      <c r="M88" s="58">
        <f t="shared" si="19"/>
        <v>0.66522412598508052</v>
      </c>
      <c r="N88" s="58">
        <f t="shared" si="19"/>
        <v>0.66014248955137433</v>
      </c>
      <c r="O88" s="59"/>
      <c r="P88" s="60">
        <f>IFERROR(+P86/P51,"-")</f>
        <v>0.59362910723805973</v>
      </c>
    </row>
    <row r="89" spans="1:16" x14ac:dyDescent="0.25">
      <c r="A89" s="51"/>
      <c r="B89" s="51"/>
      <c r="C89" s="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43"/>
      <c r="P89" s="52"/>
    </row>
    <row r="90" spans="1:16" x14ac:dyDescent="0.25">
      <c r="A90" s="6" t="s">
        <v>40</v>
      </c>
      <c r="B90" s="6" t="str">
        <f>B7</f>
        <v>Classroom</v>
      </c>
      <c r="D90" s="71">
        <f>VLOOKUP($B90,Workings!$C$2:$O$28,2,FALSE)*D21</f>
        <v>0</v>
      </c>
      <c r="E90" s="71">
        <f>VLOOKUP($B90,Workings!$C$2:$O$28,3,FALSE)*E21</f>
        <v>25625</v>
      </c>
      <c r="F90" s="71">
        <f>VLOOKUP($B90,Workings!$C$2:$O$28,4,FALSE)*F21</f>
        <v>47278.124999999993</v>
      </c>
      <c r="G90" s="71">
        <f>VLOOKUP($B90,Workings!$C$2:$O$28,5,FALSE)*G21</f>
        <v>67305.664062499971</v>
      </c>
      <c r="H90" s="71">
        <f>VLOOKUP($B90,Workings!$C$2:$O$28,6,FALSE)*H21</f>
        <v>82785.966796874956</v>
      </c>
      <c r="I90" s="71">
        <f>VLOOKUP($B90,Workings!$C$2:$O$28,7,FALSE)*I21</f>
        <v>84855.615966796831</v>
      </c>
      <c r="J90" s="71">
        <f>VLOOKUP($B90,Workings!$C$2:$O$28,8,FALSE)*J21</f>
        <v>86977.00636596675</v>
      </c>
      <c r="K90" s="71">
        <f>VLOOKUP($B90,Workings!$C$2:$O$28,9,FALSE)*K21</f>
        <v>89151.431525115899</v>
      </c>
      <c r="L90" s="71">
        <f>VLOOKUP($B90,Workings!$C$2:$O$28,10,FALSE)*L21</f>
        <v>91380.217313243789</v>
      </c>
      <c r="M90" s="71">
        <f>VLOOKUP($B90,Workings!$C$2:$O$28,11,FALSE)*M21</f>
        <v>93664.722746074884</v>
      </c>
      <c r="N90" s="71">
        <f>VLOOKUP($B90,Workings!$C$2:$O$28,12,FALSE)*N21</f>
        <v>96006.340814726747</v>
      </c>
      <c r="O90" s="23"/>
      <c r="P90" s="33">
        <f t="shared" ref="P90" si="20">SUM(D90:N90)</f>
        <v>765030.09059129993</v>
      </c>
    </row>
    <row r="91" spans="1:16" x14ac:dyDescent="0.25">
      <c r="A91" s="51"/>
      <c r="B91" s="51"/>
      <c r="C91" s="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43"/>
      <c r="P91" s="52"/>
    </row>
    <row r="92" spans="1:16" s="8" customFormat="1" x14ac:dyDescent="0.25">
      <c r="A92" s="35" t="s">
        <v>38</v>
      </c>
      <c r="B92" s="35"/>
      <c r="D92" s="56">
        <f>+D86-D90</f>
        <v>-124250</v>
      </c>
      <c r="E92" s="56">
        <f t="shared" ref="E92:N92" si="21">+E86-E90</f>
        <v>-36718.75</v>
      </c>
      <c r="F92" s="56">
        <f t="shared" si="21"/>
        <v>56557.812500000022</v>
      </c>
      <c r="G92" s="56">
        <f t="shared" si="21"/>
        <v>134888.67187500006</v>
      </c>
      <c r="H92" s="56">
        <f t="shared" si="21"/>
        <v>181725.72753906256</v>
      </c>
      <c r="I92" s="56">
        <f t="shared" si="21"/>
        <v>177931.37072753912</v>
      </c>
      <c r="J92" s="56">
        <f t="shared" si="21"/>
        <v>174042.15499572764</v>
      </c>
      <c r="K92" s="56">
        <f t="shared" si="21"/>
        <v>170055.70887062082</v>
      </c>
      <c r="L92" s="56">
        <f t="shared" si="21"/>
        <v>165969.60159238637</v>
      </c>
      <c r="M92" s="56">
        <f t="shared" si="21"/>
        <v>161781.34163219604</v>
      </c>
      <c r="N92" s="56">
        <f t="shared" si="21"/>
        <v>157488.375173001</v>
      </c>
      <c r="O92" s="57"/>
      <c r="P92" s="56">
        <f>+P86-P90</f>
        <v>1219472.0149055338</v>
      </c>
    </row>
    <row r="93" spans="1:16" x14ac:dyDescent="0.25">
      <c r="A93" s="51"/>
      <c r="B93" s="51"/>
      <c r="C93" s="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43"/>
      <c r="P93" s="52"/>
    </row>
    <row r="94" spans="1:16" s="8" customFormat="1" x14ac:dyDescent="0.25">
      <c r="A94" s="35" t="s">
        <v>39</v>
      </c>
      <c r="B94" s="35"/>
      <c r="D94" s="61" t="str">
        <f t="shared" ref="D94:N94" si="22">IFERROR(D92/D51,"-")</f>
        <v>-</v>
      </c>
      <c r="E94" s="61">
        <f t="shared" si="22"/>
        <v>-0.31929347826086957</v>
      </c>
      <c r="F94" s="61">
        <f t="shared" si="22"/>
        <v>0.25708096590909102</v>
      </c>
      <c r="G94" s="61">
        <f t="shared" si="22"/>
        <v>0.42152709960937518</v>
      </c>
      <c r="H94" s="61">
        <f t="shared" si="22"/>
        <v>0.47324408213297542</v>
      </c>
      <c r="I94" s="61">
        <f t="shared" si="22"/>
        <v>0.46336294460296645</v>
      </c>
      <c r="J94" s="61">
        <f t="shared" si="22"/>
        <v>0.4532347786347074</v>
      </c>
      <c r="K94" s="61">
        <f t="shared" si="22"/>
        <v>0.4428534085172417</v>
      </c>
      <c r="L94" s="61">
        <f t="shared" si="22"/>
        <v>0.43221250414683954</v>
      </c>
      <c r="M94" s="61">
        <f t="shared" si="22"/>
        <v>0.4213055771671772</v>
      </c>
      <c r="N94" s="61">
        <f t="shared" si="22"/>
        <v>0.41012597701302345</v>
      </c>
      <c r="O94" s="59"/>
      <c r="P94" s="61">
        <f>IFERROR(P92/P51,"-")</f>
        <v>0.36478373164987549</v>
      </c>
    </row>
    <row r="95" spans="1:16" x14ac:dyDescent="0.25">
      <c r="A95" s="1"/>
      <c r="B95" s="1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3"/>
      <c r="P95" s="24"/>
    </row>
  </sheetData>
  <mergeCells count="1">
    <mergeCell ref="A2:P3"/>
  </mergeCells>
  <pageMargins left="0.25" right="0.25" top="0.75" bottom="0.75" header="0.3" footer="0.3"/>
  <pageSetup paperSize="8" scale="53" orientation="portrait" r:id="rId1"/>
  <rowBreaks count="1" manualBreakCount="1">
    <brk id="4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Workings!$C$21:$C$28</xm:f>
          </x14:formula1>
          <xm:sqref>B40</xm:sqref>
        </x14:dataValidation>
        <x14:dataValidation type="list" allowBlank="1" showInputMessage="1" showErrorMessage="1">
          <x14:formula1>
            <xm:f>Workings!$C$13:$C$19</xm:f>
          </x14:formula1>
          <xm:sqref>A28:A29 A32:A33</xm:sqref>
        </x14:dataValidation>
        <x14:dataValidation type="list" allowBlank="1" showInputMessage="1" showErrorMessage="1">
          <x14:formula1>
            <xm:f>Workings!$C$5:$C$7</xm:f>
          </x14:formula1>
          <xm:sqref>B8</xm:sqref>
        </x14:dataValidation>
        <x14:dataValidation type="list" allowBlank="1" showInputMessage="1" showErrorMessage="1">
          <x14:formula1>
            <xm:f>Workings!$C$9:$C$11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"/>
  <sheetViews>
    <sheetView workbookViewId="0">
      <selection activeCell="O31" sqref="O31"/>
    </sheetView>
  </sheetViews>
  <sheetFormatPr defaultRowHeight="15" x14ac:dyDescent="0.25"/>
  <cols>
    <col min="1" max="1" width="14" bestFit="1" customWidth="1"/>
    <col min="3" max="3" width="14" bestFit="1" customWidth="1"/>
    <col min="4" max="4" width="10.5703125" bestFit="1" customWidth="1"/>
    <col min="5" max="5" width="12.7109375" bestFit="1" customWidth="1"/>
    <col min="6" max="6" width="13.85546875" bestFit="1" customWidth="1"/>
    <col min="7" max="15" width="10" bestFit="1" customWidth="1"/>
  </cols>
  <sheetData>
    <row r="2" spans="1:15" x14ac:dyDescent="0.25">
      <c r="A2" t="s">
        <v>51</v>
      </c>
      <c r="C2" t="s">
        <v>52</v>
      </c>
    </row>
    <row r="3" spans="1:15" x14ac:dyDescent="0.25">
      <c r="C3" t="s">
        <v>53</v>
      </c>
    </row>
    <row r="5" spans="1:15" x14ac:dyDescent="0.25">
      <c r="A5" t="s">
        <v>54</v>
      </c>
      <c r="C5" t="s">
        <v>55</v>
      </c>
    </row>
    <row r="6" spans="1:15" x14ac:dyDescent="0.25">
      <c r="C6" t="s">
        <v>56</v>
      </c>
    </row>
    <row r="7" spans="1:15" x14ac:dyDescent="0.25">
      <c r="C7" t="s">
        <v>57</v>
      </c>
    </row>
    <row r="9" spans="1:15" x14ac:dyDescent="0.25">
      <c r="A9" t="s">
        <v>58</v>
      </c>
      <c r="C9" t="s">
        <v>59</v>
      </c>
      <c r="D9" s="69">
        <v>5000</v>
      </c>
      <c r="E9" s="70">
        <f>D9*1.025</f>
        <v>5125</v>
      </c>
      <c r="F9" s="70">
        <f t="shared" ref="F9:N9" si="0">E9*1.025</f>
        <v>5253.1249999999991</v>
      </c>
      <c r="G9" s="70">
        <f t="shared" si="0"/>
        <v>5384.4531249999982</v>
      </c>
      <c r="H9" s="70">
        <f t="shared" si="0"/>
        <v>5519.0644531249973</v>
      </c>
      <c r="I9" s="70">
        <f t="shared" si="0"/>
        <v>5657.0410644531221</v>
      </c>
      <c r="J9" s="70">
        <f t="shared" si="0"/>
        <v>5798.46709106445</v>
      </c>
      <c r="K9" s="70">
        <f t="shared" si="0"/>
        <v>5943.4287683410603</v>
      </c>
      <c r="L9" s="70">
        <f t="shared" si="0"/>
        <v>6092.0144875495862</v>
      </c>
      <c r="M9" s="70">
        <f t="shared" si="0"/>
        <v>6244.3148497383254</v>
      </c>
      <c r="N9" s="70">
        <f t="shared" si="0"/>
        <v>6400.4227209817827</v>
      </c>
    </row>
    <row r="10" spans="1:15" x14ac:dyDescent="0.25">
      <c r="C10" t="s">
        <v>60</v>
      </c>
      <c r="D10" s="69">
        <v>3500</v>
      </c>
      <c r="E10" s="70">
        <f t="shared" ref="E10:N10" si="1">D10*1.025</f>
        <v>3587.4999999999995</v>
      </c>
      <c r="F10" s="70">
        <f t="shared" si="1"/>
        <v>3677.1874999999991</v>
      </c>
      <c r="G10" s="70">
        <f t="shared" si="1"/>
        <v>3769.1171874999986</v>
      </c>
      <c r="H10" s="70">
        <f t="shared" si="1"/>
        <v>3863.3451171874981</v>
      </c>
      <c r="I10" s="70">
        <f t="shared" si="1"/>
        <v>3959.9287451171854</v>
      </c>
      <c r="J10" s="70">
        <f t="shared" si="1"/>
        <v>4058.9269637451148</v>
      </c>
      <c r="K10" s="70">
        <f t="shared" si="1"/>
        <v>4160.400137838742</v>
      </c>
      <c r="L10" s="70">
        <f t="shared" si="1"/>
        <v>4264.4101412847103</v>
      </c>
      <c r="M10" s="70">
        <f t="shared" si="1"/>
        <v>4371.0203948168273</v>
      </c>
      <c r="N10" s="70">
        <f t="shared" si="1"/>
        <v>4480.2959046872475</v>
      </c>
    </row>
    <row r="11" spans="1:15" x14ac:dyDescent="0.25">
      <c r="C11" t="s">
        <v>61</v>
      </c>
      <c r="D11" s="69">
        <v>2500</v>
      </c>
      <c r="E11" s="70">
        <f t="shared" ref="E11:N11" si="2">D11*1.025</f>
        <v>2562.5</v>
      </c>
      <c r="F11" s="70">
        <f t="shared" si="2"/>
        <v>2626.5624999999995</v>
      </c>
      <c r="G11" s="70">
        <f t="shared" si="2"/>
        <v>2692.2265624999991</v>
      </c>
      <c r="H11" s="70">
        <f t="shared" si="2"/>
        <v>2759.5322265624986</v>
      </c>
      <c r="I11" s="70">
        <f t="shared" si="2"/>
        <v>2828.520532226561</v>
      </c>
      <c r="J11" s="70">
        <f t="shared" si="2"/>
        <v>2899.233545532225</v>
      </c>
      <c r="K11" s="70">
        <f t="shared" si="2"/>
        <v>2971.7143841705301</v>
      </c>
      <c r="L11" s="70">
        <f t="shared" si="2"/>
        <v>3046.0072437747931</v>
      </c>
      <c r="M11" s="70">
        <f t="shared" si="2"/>
        <v>3122.1574248691627</v>
      </c>
      <c r="N11" s="70">
        <f t="shared" si="2"/>
        <v>3200.2113604908914</v>
      </c>
    </row>
    <row r="13" spans="1:15" x14ac:dyDescent="0.25">
      <c r="A13" t="s">
        <v>62</v>
      </c>
      <c r="C13" t="s">
        <v>64</v>
      </c>
      <c r="E13" s="69">
        <v>110000</v>
      </c>
      <c r="F13" s="70">
        <f>E13*1.025</f>
        <v>112749.99999999999</v>
      </c>
      <c r="G13" s="70">
        <f t="shared" ref="G13:O13" si="3">F13*1.025</f>
        <v>115568.74999999997</v>
      </c>
      <c r="H13" s="70">
        <f t="shared" si="3"/>
        <v>118457.96874999996</v>
      </c>
      <c r="I13" s="70">
        <f t="shared" si="3"/>
        <v>121419.41796874994</v>
      </c>
      <c r="J13" s="70">
        <f t="shared" si="3"/>
        <v>124454.90341796869</v>
      </c>
      <c r="K13" s="70">
        <f t="shared" si="3"/>
        <v>127566.27600341789</v>
      </c>
      <c r="L13" s="70">
        <f t="shared" si="3"/>
        <v>130755.43290350333</v>
      </c>
      <c r="M13" s="70">
        <f t="shared" si="3"/>
        <v>134024.31872609089</v>
      </c>
      <c r="N13" s="70">
        <f t="shared" si="3"/>
        <v>137374.92669424316</v>
      </c>
      <c r="O13" s="70">
        <f t="shared" si="3"/>
        <v>140809.29986159923</v>
      </c>
    </row>
    <row r="14" spans="1:15" x14ac:dyDescent="0.25">
      <c r="C14" t="s">
        <v>66</v>
      </c>
      <c r="E14" s="69">
        <v>90000</v>
      </c>
      <c r="F14" s="70">
        <f t="shared" ref="F14:O14" si="4">E14*1.025</f>
        <v>92249.999999999985</v>
      </c>
      <c r="G14" s="70">
        <f t="shared" si="4"/>
        <v>94556.249999999971</v>
      </c>
      <c r="H14" s="70">
        <f t="shared" si="4"/>
        <v>96920.156249999956</v>
      </c>
      <c r="I14" s="70">
        <f t="shared" si="4"/>
        <v>99343.160156249942</v>
      </c>
      <c r="J14" s="70">
        <f t="shared" si="4"/>
        <v>101826.73916015618</v>
      </c>
      <c r="K14" s="70">
        <f t="shared" si="4"/>
        <v>104372.40763916008</v>
      </c>
      <c r="L14" s="70">
        <f t="shared" si="4"/>
        <v>106981.71783013908</v>
      </c>
      <c r="M14" s="70">
        <f t="shared" si="4"/>
        <v>109656.26077589254</v>
      </c>
      <c r="N14" s="70">
        <f t="shared" si="4"/>
        <v>112397.66729528985</v>
      </c>
      <c r="O14" s="70">
        <f t="shared" si="4"/>
        <v>115207.60897767209</v>
      </c>
    </row>
    <row r="15" spans="1:15" x14ac:dyDescent="0.25">
      <c r="C15" t="s">
        <v>63</v>
      </c>
      <c r="E15" s="69">
        <v>150000</v>
      </c>
      <c r="F15" s="70">
        <f t="shared" ref="F15:O15" si="5">E15*1.025</f>
        <v>153750</v>
      </c>
      <c r="G15" s="70">
        <f t="shared" si="5"/>
        <v>157593.75</v>
      </c>
      <c r="H15" s="70">
        <f t="shared" si="5"/>
        <v>161533.59375</v>
      </c>
      <c r="I15" s="70">
        <f t="shared" si="5"/>
        <v>165571.93359375</v>
      </c>
      <c r="J15" s="70">
        <f t="shared" si="5"/>
        <v>169711.23193359372</v>
      </c>
      <c r="K15" s="70">
        <f t="shared" si="5"/>
        <v>173954.01273193356</v>
      </c>
      <c r="L15" s="70">
        <f t="shared" si="5"/>
        <v>178302.86305023188</v>
      </c>
      <c r="M15" s="70">
        <f t="shared" si="5"/>
        <v>182760.43462648767</v>
      </c>
      <c r="N15" s="70">
        <f t="shared" si="5"/>
        <v>187329.44549214985</v>
      </c>
      <c r="O15" s="70">
        <f t="shared" si="5"/>
        <v>192012.68162945358</v>
      </c>
    </row>
    <row r="16" spans="1:15" x14ac:dyDescent="0.25">
      <c r="C16" t="s">
        <v>65</v>
      </c>
      <c r="E16" s="69">
        <v>110000</v>
      </c>
      <c r="F16" s="70">
        <f t="shared" ref="F16:O16" si="6">E16*1.025</f>
        <v>112749.99999999999</v>
      </c>
      <c r="G16" s="70">
        <f t="shared" si="6"/>
        <v>115568.74999999997</v>
      </c>
      <c r="H16" s="70">
        <f t="shared" si="6"/>
        <v>118457.96874999996</v>
      </c>
      <c r="I16" s="70">
        <f t="shared" si="6"/>
        <v>121419.41796874994</v>
      </c>
      <c r="J16" s="70">
        <f t="shared" si="6"/>
        <v>124454.90341796869</v>
      </c>
      <c r="K16" s="70">
        <f t="shared" si="6"/>
        <v>127566.27600341789</v>
      </c>
      <c r="L16" s="70">
        <f t="shared" si="6"/>
        <v>130755.43290350333</v>
      </c>
      <c r="M16" s="70">
        <f t="shared" si="6"/>
        <v>134024.31872609089</v>
      </c>
      <c r="N16" s="70">
        <f t="shared" si="6"/>
        <v>137374.92669424316</v>
      </c>
      <c r="O16" s="70">
        <f t="shared" si="6"/>
        <v>140809.29986159923</v>
      </c>
    </row>
    <row r="17" spans="1:15" x14ac:dyDescent="0.25">
      <c r="C17" t="s">
        <v>67</v>
      </c>
      <c r="E17" s="69">
        <v>75000</v>
      </c>
      <c r="F17" s="70">
        <f t="shared" ref="F17:O17" si="7">E17*1.025</f>
        <v>76875</v>
      </c>
      <c r="G17" s="70">
        <f t="shared" si="7"/>
        <v>78796.875</v>
      </c>
      <c r="H17" s="70">
        <f t="shared" si="7"/>
        <v>80766.796875</v>
      </c>
      <c r="I17" s="70">
        <f t="shared" si="7"/>
        <v>82785.966796875</v>
      </c>
      <c r="J17" s="70">
        <f t="shared" si="7"/>
        <v>84855.61596679686</v>
      </c>
      <c r="K17" s="70">
        <f t="shared" si="7"/>
        <v>86977.006365966779</v>
      </c>
      <c r="L17" s="70">
        <f t="shared" si="7"/>
        <v>89151.431525115942</v>
      </c>
      <c r="M17" s="70">
        <f t="shared" si="7"/>
        <v>91380.217313243833</v>
      </c>
      <c r="N17" s="70">
        <f t="shared" si="7"/>
        <v>93664.722746074927</v>
      </c>
      <c r="O17" s="70">
        <f t="shared" si="7"/>
        <v>96006.340814726791</v>
      </c>
    </row>
    <row r="18" spans="1:15" x14ac:dyDescent="0.25">
      <c r="C18" t="s">
        <v>68</v>
      </c>
      <c r="E18" s="69">
        <v>65000</v>
      </c>
      <c r="F18" s="70">
        <f t="shared" ref="F18:O18" si="8">E18*1.025</f>
        <v>66625</v>
      </c>
      <c r="G18" s="70">
        <f t="shared" si="8"/>
        <v>68290.625</v>
      </c>
      <c r="H18" s="70">
        <f t="shared" si="8"/>
        <v>69997.890625</v>
      </c>
      <c r="I18" s="70">
        <f t="shared" si="8"/>
        <v>71747.837890625</v>
      </c>
      <c r="J18" s="70">
        <f t="shared" si="8"/>
        <v>73541.533837890616</v>
      </c>
      <c r="K18" s="70">
        <f t="shared" si="8"/>
        <v>75380.072183837881</v>
      </c>
      <c r="L18" s="70">
        <f t="shared" si="8"/>
        <v>77264.573988433825</v>
      </c>
      <c r="M18" s="70">
        <f t="shared" si="8"/>
        <v>79196.188338144668</v>
      </c>
      <c r="N18" s="70">
        <f t="shared" si="8"/>
        <v>81176.093046598282</v>
      </c>
      <c r="O18" s="70">
        <f t="shared" si="8"/>
        <v>83205.495372763238</v>
      </c>
    </row>
    <row r="19" spans="1:15" x14ac:dyDescent="0.25">
      <c r="C19" t="s">
        <v>69</v>
      </c>
      <c r="E19" s="69">
        <v>55000</v>
      </c>
      <c r="F19" s="70">
        <f t="shared" ref="F19:O19" si="9">E19*1.025</f>
        <v>56374.999999999993</v>
      </c>
      <c r="G19" s="70">
        <f t="shared" si="9"/>
        <v>57784.374999999985</v>
      </c>
      <c r="H19" s="70">
        <f t="shared" si="9"/>
        <v>59228.984374999978</v>
      </c>
      <c r="I19" s="70">
        <f t="shared" si="9"/>
        <v>60709.708984374971</v>
      </c>
      <c r="J19" s="70">
        <f t="shared" si="9"/>
        <v>62227.451708984343</v>
      </c>
      <c r="K19" s="70">
        <f t="shared" si="9"/>
        <v>63783.138001708947</v>
      </c>
      <c r="L19" s="70">
        <f t="shared" si="9"/>
        <v>65377.716451751665</v>
      </c>
      <c r="M19" s="70">
        <f t="shared" si="9"/>
        <v>67012.159363045444</v>
      </c>
      <c r="N19" s="70">
        <f t="shared" si="9"/>
        <v>68687.463347121578</v>
      </c>
      <c r="O19" s="70">
        <f t="shared" si="9"/>
        <v>70404.649930799613</v>
      </c>
    </row>
    <row r="20" spans="1:15" x14ac:dyDescent="0.25"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</row>
    <row r="21" spans="1:15" x14ac:dyDescent="0.25">
      <c r="C21" t="s">
        <v>78</v>
      </c>
      <c r="E21" s="69">
        <v>110000</v>
      </c>
      <c r="F21" s="70">
        <f t="shared" ref="F21:O21" si="10">E21*1.025</f>
        <v>112749.99999999999</v>
      </c>
      <c r="G21" s="70">
        <f t="shared" si="10"/>
        <v>115568.74999999997</v>
      </c>
      <c r="H21" s="70">
        <f t="shared" si="10"/>
        <v>118457.96874999996</v>
      </c>
      <c r="I21" s="70">
        <f t="shared" si="10"/>
        <v>121419.41796874994</v>
      </c>
      <c r="J21" s="70">
        <f t="shared" si="10"/>
        <v>124454.90341796869</v>
      </c>
      <c r="K21" s="70">
        <f t="shared" si="10"/>
        <v>127566.27600341789</v>
      </c>
      <c r="L21" s="70">
        <f t="shared" si="10"/>
        <v>130755.43290350333</v>
      </c>
      <c r="M21" s="70">
        <f t="shared" si="10"/>
        <v>134024.31872609089</v>
      </c>
      <c r="N21" s="70">
        <f t="shared" si="10"/>
        <v>137374.92669424316</v>
      </c>
      <c r="O21" s="70">
        <f t="shared" si="10"/>
        <v>140809.29986159923</v>
      </c>
    </row>
    <row r="22" spans="1:15" x14ac:dyDescent="0.25">
      <c r="C22" t="s">
        <v>79</v>
      </c>
      <c r="E22" s="69">
        <v>80000</v>
      </c>
      <c r="F22" s="70">
        <f t="shared" ref="F22:O22" si="11">E22*1.025</f>
        <v>82000</v>
      </c>
      <c r="G22" s="70">
        <f t="shared" si="11"/>
        <v>84049.999999999985</v>
      </c>
      <c r="H22" s="70">
        <f t="shared" si="11"/>
        <v>86151.249999999971</v>
      </c>
      <c r="I22" s="70">
        <f t="shared" si="11"/>
        <v>88305.031249999956</v>
      </c>
      <c r="J22" s="70">
        <f t="shared" si="11"/>
        <v>90512.657031249953</v>
      </c>
      <c r="K22" s="70">
        <f t="shared" si="11"/>
        <v>92775.473457031199</v>
      </c>
      <c r="L22" s="70">
        <f t="shared" si="11"/>
        <v>95094.860293456964</v>
      </c>
      <c r="M22" s="70">
        <f t="shared" si="11"/>
        <v>97472.231800793379</v>
      </c>
      <c r="N22" s="70">
        <f t="shared" si="11"/>
        <v>99909.037595813206</v>
      </c>
      <c r="O22" s="70">
        <f t="shared" si="11"/>
        <v>102406.76353570852</v>
      </c>
    </row>
    <row r="23" spans="1:15" x14ac:dyDescent="0.25">
      <c r="C23" t="s">
        <v>72</v>
      </c>
      <c r="E23" s="69">
        <v>65000</v>
      </c>
      <c r="F23" s="70">
        <f t="shared" ref="F23:O23" si="12">E23*1.025</f>
        <v>66625</v>
      </c>
      <c r="G23" s="70">
        <f t="shared" si="12"/>
        <v>68290.625</v>
      </c>
      <c r="H23" s="70">
        <f t="shared" si="12"/>
        <v>69997.890625</v>
      </c>
      <c r="I23" s="70">
        <f t="shared" si="12"/>
        <v>71747.837890625</v>
      </c>
      <c r="J23" s="70">
        <f t="shared" si="12"/>
        <v>73541.533837890616</v>
      </c>
      <c r="K23" s="70">
        <f t="shared" si="12"/>
        <v>75380.072183837881</v>
      </c>
      <c r="L23" s="70">
        <f t="shared" si="12"/>
        <v>77264.573988433825</v>
      </c>
      <c r="M23" s="70">
        <f t="shared" si="12"/>
        <v>79196.188338144668</v>
      </c>
      <c r="N23" s="70">
        <f t="shared" si="12"/>
        <v>81176.093046598282</v>
      </c>
      <c r="O23" s="70">
        <f t="shared" si="12"/>
        <v>83205.495372763238</v>
      </c>
    </row>
    <row r="24" spans="1:15" x14ac:dyDescent="0.25">
      <c r="C24" t="s">
        <v>73</v>
      </c>
      <c r="E24" s="69">
        <v>55000</v>
      </c>
      <c r="F24" s="70">
        <f t="shared" ref="F24:O24" si="13">E24*1.025</f>
        <v>56374.999999999993</v>
      </c>
      <c r="G24" s="70">
        <f t="shared" si="13"/>
        <v>57784.374999999985</v>
      </c>
      <c r="H24" s="70">
        <f t="shared" si="13"/>
        <v>59228.984374999978</v>
      </c>
      <c r="I24" s="70">
        <f t="shared" si="13"/>
        <v>60709.708984374971</v>
      </c>
      <c r="J24" s="70">
        <f t="shared" si="13"/>
        <v>62227.451708984343</v>
      </c>
      <c r="K24" s="70">
        <f t="shared" si="13"/>
        <v>63783.138001708947</v>
      </c>
      <c r="L24" s="70">
        <f t="shared" si="13"/>
        <v>65377.716451751665</v>
      </c>
      <c r="M24" s="70">
        <f t="shared" si="13"/>
        <v>67012.159363045444</v>
      </c>
      <c r="N24" s="70">
        <f t="shared" si="13"/>
        <v>68687.463347121578</v>
      </c>
      <c r="O24" s="70">
        <f t="shared" si="13"/>
        <v>70404.649930799613</v>
      </c>
    </row>
    <row r="25" spans="1:15" x14ac:dyDescent="0.25">
      <c r="C25" t="s">
        <v>74</v>
      </c>
      <c r="E25" s="69">
        <v>45000</v>
      </c>
      <c r="F25" s="70">
        <f t="shared" ref="F25:O25" si="14">E25*1.025</f>
        <v>46124.999999999993</v>
      </c>
      <c r="G25" s="70">
        <f t="shared" si="14"/>
        <v>47278.124999999985</v>
      </c>
      <c r="H25" s="70">
        <f t="shared" si="14"/>
        <v>48460.078124999978</v>
      </c>
      <c r="I25" s="70">
        <f t="shared" si="14"/>
        <v>49671.580078124971</v>
      </c>
      <c r="J25" s="70">
        <f t="shared" si="14"/>
        <v>50913.369580078092</v>
      </c>
      <c r="K25" s="70">
        <f t="shared" si="14"/>
        <v>52186.203819580041</v>
      </c>
      <c r="L25" s="70">
        <f t="shared" si="14"/>
        <v>53490.858915069541</v>
      </c>
      <c r="M25" s="70">
        <f t="shared" si="14"/>
        <v>54828.130387946272</v>
      </c>
      <c r="N25" s="70">
        <f t="shared" si="14"/>
        <v>56198.833647644926</v>
      </c>
      <c r="O25" s="70">
        <f t="shared" si="14"/>
        <v>57603.804488836045</v>
      </c>
    </row>
    <row r="26" spans="1:15" x14ac:dyDescent="0.25">
      <c r="C26" t="s">
        <v>75</v>
      </c>
      <c r="E26" s="69">
        <v>35000</v>
      </c>
      <c r="F26" s="70">
        <f t="shared" ref="F26:O26" si="15">E26*1.025</f>
        <v>35875</v>
      </c>
      <c r="G26" s="70">
        <f t="shared" si="15"/>
        <v>36771.875</v>
      </c>
      <c r="H26" s="70">
        <f t="shared" si="15"/>
        <v>37691.171875</v>
      </c>
      <c r="I26" s="70">
        <f t="shared" si="15"/>
        <v>38633.451171875</v>
      </c>
      <c r="J26" s="70">
        <f t="shared" si="15"/>
        <v>39599.287451171869</v>
      </c>
      <c r="K26" s="70">
        <f t="shared" si="15"/>
        <v>40589.269637451165</v>
      </c>
      <c r="L26" s="70">
        <f t="shared" si="15"/>
        <v>41604.001378387438</v>
      </c>
      <c r="M26" s="70">
        <f t="shared" si="15"/>
        <v>42644.101412847122</v>
      </c>
      <c r="N26" s="70">
        <f t="shared" si="15"/>
        <v>43710.203948168295</v>
      </c>
      <c r="O26" s="70">
        <f t="shared" si="15"/>
        <v>44802.9590468725</v>
      </c>
    </row>
    <row r="27" spans="1:15" x14ac:dyDescent="0.25">
      <c r="C27" t="s">
        <v>76</v>
      </c>
      <c r="E27" s="69">
        <v>30000</v>
      </c>
      <c r="F27" s="70">
        <f t="shared" ref="F27:O27" si="16">E27*1.025</f>
        <v>30749.999999999996</v>
      </c>
      <c r="G27" s="70">
        <f t="shared" si="16"/>
        <v>31518.749999999993</v>
      </c>
      <c r="H27" s="70">
        <f t="shared" si="16"/>
        <v>32306.718749999989</v>
      </c>
      <c r="I27" s="70">
        <f t="shared" si="16"/>
        <v>33114.386718749985</v>
      </c>
      <c r="J27" s="70">
        <f t="shared" si="16"/>
        <v>33942.246386718733</v>
      </c>
      <c r="K27" s="70">
        <f t="shared" si="16"/>
        <v>34790.802546386694</v>
      </c>
      <c r="L27" s="70">
        <f t="shared" si="16"/>
        <v>35660.572610046358</v>
      </c>
      <c r="M27" s="70">
        <f t="shared" si="16"/>
        <v>36552.086925297517</v>
      </c>
      <c r="N27" s="70">
        <f t="shared" si="16"/>
        <v>37465.889098429951</v>
      </c>
      <c r="O27" s="70">
        <f t="shared" si="16"/>
        <v>38402.536325890695</v>
      </c>
    </row>
    <row r="28" spans="1:15" x14ac:dyDescent="0.25">
      <c r="C28" t="s">
        <v>77</v>
      </c>
      <c r="E28" s="69">
        <v>28000</v>
      </c>
      <c r="F28" s="70">
        <f t="shared" ref="F28:O28" si="17">E28*1.025</f>
        <v>28699.999999999996</v>
      </c>
      <c r="G28" s="70">
        <f t="shared" si="17"/>
        <v>29417.499999999993</v>
      </c>
      <c r="H28" s="70">
        <f t="shared" si="17"/>
        <v>30152.937499999989</v>
      </c>
      <c r="I28" s="70">
        <f t="shared" si="17"/>
        <v>30906.760937499985</v>
      </c>
      <c r="J28" s="70">
        <f t="shared" si="17"/>
        <v>31679.429960937483</v>
      </c>
      <c r="K28" s="70">
        <f t="shared" si="17"/>
        <v>32471.415709960918</v>
      </c>
      <c r="L28" s="70">
        <f t="shared" si="17"/>
        <v>33283.201102709936</v>
      </c>
      <c r="M28" s="70">
        <f t="shared" si="17"/>
        <v>34115.281130277683</v>
      </c>
      <c r="N28" s="70">
        <f t="shared" si="17"/>
        <v>34968.163158534619</v>
      </c>
      <c r="O28" s="70">
        <f t="shared" si="17"/>
        <v>35842.36723749798</v>
      </c>
    </row>
    <row r="31" spans="1:15" x14ac:dyDescent="0.25">
      <c r="A31" t="s">
        <v>85</v>
      </c>
      <c r="B31" s="68">
        <v>2.5000000000000001E-2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Target</vt:lpstr>
      <vt:lpstr>Minimum</vt:lpstr>
      <vt:lpstr>Workings</vt:lpstr>
      <vt:lpstr>Minimum!Print_Area</vt:lpstr>
      <vt:lpstr>Target!Print_Area</vt:lpstr>
      <vt:lpstr>Minimum!Print_Titles</vt:lpstr>
      <vt:lpstr>Target!Print_Titles</vt:lpstr>
    </vt:vector>
  </TitlesOfParts>
  <Company>University of Dundee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Brown</dc:creator>
  <cp:lastModifiedBy>Rayne Eaton</cp:lastModifiedBy>
  <cp:lastPrinted>2019-09-17T10:46:44Z</cp:lastPrinted>
  <dcterms:created xsi:type="dcterms:W3CDTF">2019-05-09T10:48:45Z</dcterms:created>
  <dcterms:modified xsi:type="dcterms:W3CDTF">2019-09-17T11:04:04Z</dcterms:modified>
</cp:coreProperties>
</file>